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Stedsutvikling og plan\Klima\Klimakalkulator for arealplanlegging\klimakalkulator 2021\"/>
    </mc:Choice>
  </mc:AlternateContent>
  <bookViews>
    <workbookView xWindow="0" yWindow="0" windowWidth="19200" windowHeight="7050"/>
  </bookViews>
  <sheets>
    <sheet name="FORSIDEN" sheetId="1" r:id="rId1"/>
    <sheet name="Utbyggingsinformasjon" sheetId="2" r:id="rId2"/>
    <sheet name="Resultat" sheetId="6" r:id="rId3"/>
    <sheet name="Forutsetninger og beregninger"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5" i="3" l="1"/>
  <c r="F375" i="3"/>
  <c r="D377" i="3"/>
  <c r="E364" i="3"/>
  <c r="E365" i="3"/>
  <c r="E366" i="3"/>
  <c r="G366" i="3" s="1"/>
  <c r="I366" i="3" l="1"/>
  <c r="E377" i="3" s="1"/>
  <c r="G377" i="3" s="1"/>
  <c r="E341" i="3"/>
  <c r="F341" i="3"/>
  <c r="G341" i="3" s="1"/>
  <c r="D341" i="3"/>
  <c r="F22" i="6"/>
  <c r="F21" i="6"/>
  <c r="G171" i="3" l="1"/>
  <c r="E171" i="3"/>
  <c r="E158" i="3"/>
  <c r="G173" i="3" s="1"/>
  <c r="G364" i="3"/>
  <c r="F212" i="3"/>
  <c r="E212" i="3"/>
  <c r="D387" i="3"/>
  <c r="E349" i="3"/>
  <c r="E350" i="3"/>
  <c r="E351" i="3"/>
  <c r="E352" i="3"/>
  <c r="E353" i="3"/>
  <c r="E354" i="3"/>
  <c r="G365" i="3"/>
  <c r="D376" i="3"/>
  <c r="F340" i="3"/>
  <c r="G340" i="3" s="1"/>
  <c r="F339" i="3"/>
  <c r="G339" i="3" s="1"/>
  <c r="F338" i="3"/>
  <c r="G338" i="3" s="1"/>
  <c r="D340" i="3"/>
  <c r="E340" i="3" s="1"/>
  <c r="D339" i="3"/>
  <c r="E339" i="3" s="1"/>
  <c r="D338" i="3"/>
  <c r="E338" i="3" s="1"/>
  <c r="D276" i="3"/>
  <c r="F276" i="3" s="1"/>
  <c r="D277" i="3"/>
  <c r="F277" i="3" s="1"/>
  <c r="D278" i="3"/>
  <c r="F278" i="3" s="1"/>
  <c r="D279" i="3"/>
  <c r="F279" i="3" s="1"/>
  <c r="D280" i="3"/>
  <c r="F280" i="3" s="1"/>
  <c r="D281" i="3"/>
  <c r="F281" i="3" s="1"/>
  <c r="C290" i="3"/>
  <c r="D247" i="3"/>
  <c r="E247" i="3"/>
  <c r="F249" i="3" s="1"/>
  <c r="E187" i="3"/>
  <c r="F202" i="3"/>
  <c r="D248" i="3"/>
  <c r="D214" i="3"/>
  <c r="F214" i="3" s="1"/>
  <c r="D249" i="3"/>
  <c r="G184" i="3"/>
  <c r="F184" i="3"/>
  <c r="D171" i="3"/>
  <c r="F171" i="3" s="1"/>
  <c r="D172" i="3"/>
  <c r="D173" i="3"/>
  <c r="E173" i="3"/>
  <c r="E172" i="3"/>
  <c r="I117" i="3"/>
  <c r="D117" i="3"/>
  <c r="E117" i="3"/>
  <c r="I80" i="3"/>
  <c r="F65" i="3"/>
  <c r="C51" i="3"/>
  <c r="E28" i="3"/>
  <c r="E29" i="3"/>
  <c r="E30" i="3"/>
  <c r="E31" i="3"/>
  <c r="E32" i="3"/>
  <c r="E33" i="3"/>
  <c r="H28" i="3"/>
  <c r="F33" i="3"/>
  <c r="F32" i="3"/>
  <c r="F31" i="3"/>
  <c r="F30" i="3"/>
  <c r="F29" i="3"/>
  <c r="F28" i="3"/>
  <c r="J17" i="3"/>
  <c r="H33" i="3" s="1"/>
  <c r="J16" i="3"/>
  <c r="H32" i="3" s="1"/>
  <c r="J15" i="3"/>
  <c r="H31" i="3" s="1"/>
  <c r="J14" i="3"/>
  <c r="H30" i="3" s="1"/>
  <c r="J13" i="3"/>
  <c r="H29" i="3" s="1"/>
  <c r="J12" i="3"/>
  <c r="G337" i="3"/>
  <c r="E337" i="3"/>
  <c r="G185" i="3"/>
  <c r="E159" i="3"/>
  <c r="F211" i="3" s="1"/>
  <c r="E156" i="3"/>
  <c r="E155" i="3"/>
  <c r="E154" i="3"/>
  <c r="E153" i="3"/>
  <c r="E328" i="3"/>
  <c r="D375" i="3"/>
  <c r="D328" i="3"/>
  <c r="M70" i="2"/>
  <c r="H117" i="3" s="1"/>
  <c r="D18" i="6"/>
  <c r="D75" i="3"/>
  <c r="H75" i="3" s="1"/>
  <c r="F109" i="3"/>
  <c r="E35" i="2"/>
  <c r="E105" i="3" s="1"/>
  <c r="F185" i="3"/>
  <c r="F24" i="6"/>
  <c r="E109" i="2"/>
  <c r="F23" i="6" s="1"/>
  <c r="F20" i="6"/>
  <c r="F19" i="6"/>
  <c r="F17" i="6"/>
  <c r="F16" i="6"/>
  <c r="M47" i="2"/>
  <c r="F15" i="6" s="1"/>
  <c r="D15" i="6"/>
  <c r="F14" i="6"/>
  <c r="D8" i="6"/>
  <c r="D7" i="6"/>
  <c r="F316" i="3"/>
  <c r="D316" i="3"/>
  <c r="E314" i="3" s="1"/>
  <c r="E313" i="3"/>
  <c r="E315" i="3"/>
  <c r="E62" i="3"/>
  <c r="E61" i="3"/>
  <c r="I105" i="3" l="1"/>
  <c r="F73" i="2" s="1"/>
  <c r="H106" i="3"/>
  <c r="I106" i="3"/>
  <c r="I107" i="3"/>
  <c r="H107" i="3"/>
  <c r="H105" i="3"/>
  <c r="E73" i="2" s="1"/>
  <c r="H109" i="3"/>
  <c r="M73" i="2" s="1"/>
  <c r="I109" i="3"/>
  <c r="N73" i="2" s="1"/>
  <c r="D23" i="6"/>
  <c r="F13" i="6"/>
  <c r="D13" i="6"/>
  <c r="E389" i="3"/>
  <c r="E387" i="3"/>
  <c r="E388" i="3"/>
  <c r="E211" i="3"/>
  <c r="G172" i="3"/>
  <c r="I173" i="3"/>
  <c r="I171" i="3"/>
  <c r="I172" i="3"/>
  <c r="G117" i="3"/>
  <c r="F18" i="6"/>
  <c r="J171" i="3"/>
  <c r="H171" i="3"/>
  <c r="G28" i="3"/>
  <c r="E214" i="3"/>
  <c r="F247" i="3"/>
  <c r="G247" i="3" s="1"/>
  <c r="G29" i="3"/>
  <c r="I200" i="3"/>
  <c r="G32" i="3"/>
  <c r="I30" i="3"/>
  <c r="I28" i="3"/>
  <c r="F172" i="3"/>
  <c r="H198" i="3"/>
  <c r="H202" i="3" s="1"/>
  <c r="K117" i="3"/>
  <c r="G187" i="3"/>
  <c r="I32" i="3"/>
  <c r="I33" i="3"/>
  <c r="G249" i="3"/>
  <c r="I197" i="3"/>
  <c r="I199" i="3"/>
  <c r="F173" i="3"/>
  <c r="I29" i="3"/>
  <c r="I198" i="3"/>
  <c r="I202" i="3" s="1"/>
  <c r="G33" i="3"/>
  <c r="F187" i="3"/>
  <c r="G31" i="3"/>
  <c r="E355" i="3"/>
  <c r="G30" i="3"/>
  <c r="J75" i="3"/>
  <c r="K75" i="3" s="1"/>
  <c r="K80" i="3" s="1"/>
  <c r="M53" i="2" s="1"/>
  <c r="J76" i="3"/>
  <c r="K76" i="3" s="1"/>
  <c r="J77" i="3"/>
  <c r="K77" i="3" s="1"/>
  <c r="E316" i="3"/>
  <c r="F282" i="3"/>
  <c r="F75" i="3"/>
  <c r="G75" i="3" s="1"/>
  <c r="F53" i="2" s="1"/>
  <c r="I31" i="3"/>
  <c r="F248" i="3"/>
  <c r="G248" i="3" s="1"/>
  <c r="G387" i="3"/>
  <c r="H197" i="3"/>
  <c r="I387" i="3"/>
  <c r="H200" i="3"/>
  <c r="H199" i="3"/>
  <c r="F74" i="2" l="1"/>
  <c r="E74" i="2"/>
  <c r="M74" i="2"/>
  <c r="N74" i="2"/>
  <c r="E30" i="6"/>
  <c r="E52" i="6"/>
  <c r="N75" i="2"/>
  <c r="F30" i="6"/>
  <c r="M75" i="2"/>
  <c r="H365" i="3"/>
  <c r="I365" i="3" s="1"/>
  <c r="E376" i="3" s="1"/>
  <c r="H364" i="3"/>
  <c r="I364" i="3" s="1"/>
  <c r="F387" i="3" s="1"/>
  <c r="J387" i="3" s="1"/>
  <c r="F389" i="3"/>
  <c r="J389" i="3" s="1"/>
  <c r="J29" i="3"/>
  <c r="J30" i="3"/>
  <c r="J28" i="3"/>
  <c r="H172" i="3"/>
  <c r="J172" i="3"/>
  <c r="J32" i="3"/>
  <c r="H173" i="3"/>
  <c r="J173" i="3"/>
  <c r="G224" i="3"/>
  <c r="H247" i="3" s="1"/>
  <c r="I247" i="3" s="1"/>
  <c r="G237" i="3"/>
  <c r="G236" i="3"/>
  <c r="G230" i="3"/>
  <c r="H248" i="3" s="1"/>
  <c r="I248" i="3" s="1"/>
  <c r="G231" i="3"/>
  <c r="G225" i="3"/>
  <c r="H236" i="3"/>
  <c r="H230" i="3"/>
  <c r="H231" i="3"/>
  <c r="H225" i="3"/>
  <c r="H224" i="3"/>
  <c r="J247" i="3" s="1"/>
  <c r="K247" i="3" s="1"/>
  <c r="H237" i="3"/>
  <c r="J249" i="3" s="1"/>
  <c r="K249" i="3" s="1"/>
  <c r="I34" i="3"/>
  <c r="E47" i="3" s="1"/>
  <c r="J33" i="3"/>
  <c r="J31" i="3"/>
  <c r="F52" i="6"/>
  <c r="G34" i="3"/>
  <c r="D47" i="3" s="1"/>
  <c r="H249" i="3"/>
  <c r="I249" i="3" s="1"/>
  <c r="I377" i="3"/>
  <c r="F111" i="2"/>
  <c r="D290" i="3"/>
  <c r="E290" i="3" s="1"/>
  <c r="M111" i="2" s="1"/>
  <c r="M54" i="2"/>
  <c r="H389" i="3" l="1"/>
  <c r="J34" i="3"/>
  <c r="F38" i="2" s="1"/>
  <c r="E29" i="6" s="1"/>
  <c r="J174" i="3"/>
  <c r="J175" i="3" s="1"/>
  <c r="F93" i="2" s="1"/>
  <c r="E31" i="6" s="1"/>
  <c r="J248" i="3"/>
  <c r="K248" i="3" s="1"/>
  <c r="K250" i="3" s="1"/>
  <c r="K251" i="3" s="1"/>
  <c r="N93" i="2" s="1"/>
  <c r="F388" i="3"/>
  <c r="H388" i="3" s="1"/>
  <c r="E375" i="3"/>
  <c r="G375" i="3" s="1"/>
  <c r="H174" i="3"/>
  <c r="H175" i="3" s="1"/>
  <c r="E93" i="2" s="1"/>
  <c r="E53" i="6" s="1"/>
  <c r="E48" i="3"/>
  <c r="E45" i="3"/>
  <c r="E44" i="3"/>
  <c r="E46" i="3"/>
  <c r="D45" i="3"/>
  <c r="F47" i="3"/>
  <c r="D48" i="3"/>
  <c r="D44" i="3"/>
  <c r="I250" i="3"/>
  <c r="I251" i="3" s="1"/>
  <c r="M93" i="2" s="1"/>
  <c r="D46" i="3"/>
  <c r="H387" i="3"/>
  <c r="E32" i="6"/>
  <c r="E54" i="6"/>
  <c r="I376" i="3"/>
  <c r="G376" i="3"/>
  <c r="F32" i="6"/>
  <c r="F54" i="6"/>
  <c r="M112" i="2"/>
  <c r="G378" i="3" l="1"/>
  <c r="G379" i="3" s="1"/>
  <c r="N94" i="2"/>
  <c r="F44" i="3"/>
  <c r="D51" i="3"/>
  <c r="F60" i="3" s="1"/>
  <c r="F62" i="3" s="1"/>
  <c r="E51" i="3"/>
  <c r="G60" i="3" s="1"/>
  <c r="E51" i="6"/>
  <c r="F46" i="3"/>
  <c r="F45" i="3"/>
  <c r="I375" i="3"/>
  <c r="I378" i="3" s="1"/>
  <c r="I379" i="3" s="1"/>
  <c r="F129" i="2" s="1"/>
  <c r="E33" i="6" s="1"/>
  <c r="E34" i="6" s="1"/>
  <c r="E35" i="6" s="1"/>
  <c r="J388" i="3"/>
  <c r="J390" i="3" s="1"/>
  <c r="J391" i="3" s="1"/>
  <c r="N128" i="2" s="1"/>
  <c r="F33" i="6" s="1"/>
  <c r="M94" i="2"/>
  <c r="F48" i="3"/>
  <c r="H390" i="3"/>
  <c r="H391" i="3" s="1"/>
  <c r="M128" i="2" s="1"/>
  <c r="F55" i="6" s="1"/>
  <c r="F53" i="6"/>
  <c r="F31" i="6"/>
  <c r="E129" i="2" l="1"/>
  <c r="F51" i="3"/>
  <c r="H62" i="3"/>
  <c r="F61" i="3"/>
  <c r="H61" i="3" s="1"/>
  <c r="H60" i="3"/>
  <c r="N129" i="2"/>
  <c r="H65" i="3" l="1"/>
  <c r="M38" i="2" s="1"/>
  <c r="M39" i="2" s="1"/>
  <c r="E55" i="6"/>
  <c r="E56" i="6" s="1"/>
  <c r="E57" i="6" s="1"/>
  <c r="M129" i="2"/>
  <c r="F51" i="6" l="1"/>
  <c r="F56" i="6" s="1"/>
  <c r="G57" i="6" s="1"/>
  <c r="F29" i="6"/>
  <c r="F34" i="6" s="1"/>
  <c r="F35" i="6" s="1"/>
  <c r="E37" i="6" s="1"/>
  <c r="H37" i="6" l="1"/>
  <c r="E59" i="6"/>
  <c r="H59" i="6"/>
</calcChain>
</file>

<file path=xl/sharedStrings.xml><?xml version="1.0" encoding="utf-8"?>
<sst xmlns="http://schemas.openxmlformats.org/spreadsheetml/2006/main" count="617" uniqueCount="372">
  <si>
    <t>Bygningstype</t>
  </si>
  <si>
    <t>Areal</t>
  </si>
  <si>
    <t>(m2 BTA)</t>
  </si>
  <si>
    <t>(m2 BRA)</t>
  </si>
  <si>
    <t>Antall</t>
  </si>
  <si>
    <t xml:space="preserve">Bygningsmateriale </t>
  </si>
  <si>
    <t>(bæresystem)</t>
  </si>
  <si>
    <t>Tre</t>
  </si>
  <si>
    <t>Betong</t>
  </si>
  <si>
    <t>Stål/betong</t>
  </si>
  <si>
    <t>Utslippsfaktorer (kg CO2e/m2 BRA)</t>
  </si>
  <si>
    <t>Øvrige materialer</t>
  </si>
  <si>
    <t>Sum utslipp</t>
  </si>
  <si>
    <t>Bygningskategori</t>
  </si>
  <si>
    <t>Sum areal</t>
  </si>
  <si>
    <t>Utslippsfaktor</t>
  </si>
  <si>
    <t>TABELL A1 - Utslippsfaktorer bygningsmasse</t>
  </si>
  <si>
    <t>Betongtype</t>
  </si>
  <si>
    <t>Lavkarbon A</t>
  </si>
  <si>
    <t>Lavkarbon Pluss</t>
  </si>
  <si>
    <t xml:space="preserve">Reduksjon fra </t>
  </si>
  <si>
    <t>default (%)</t>
  </si>
  <si>
    <t>Asfalttype</t>
  </si>
  <si>
    <t>Lavtemperaturasfalt</t>
  </si>
  <si>
    <t>Gjenbruksasfalt</t>
  </si>
  <si>
    <t>TABELL A2 - Beregning av utslipp fra bygningsmasse</t>
  </si>
  <si>
    <t>Samlet</t>
  </si>
  <si>
    <t>TABELL A4 - Effekt av ulike betongtype</t>
  </si>
  <si>
    <t>Velg asfalttype</t>
  </si>
  <si>
    <t>A. Utslipp fra bygningsmasse</t>
  </si>
  <si>
    <t>FORUTSETNINGER OG BEREGNINGER</t>
  </si>
  <si>
    <t>B. Energi i bygg</t>
  </si>
  <si>
    <t>Passivhus</t>
  </si>
  <si>
    <t>TABELL B2 - Utslipp fra ulike energikilder</t>
  </si>
  <si>
    <t>Energikilde</t>
  </si>
  <si>
    <t>Solcelle</t>
  </si>
  <si>
    <t>Varmepumpe (luft-luft)</t>
  </si>
  <si>
    <t>Varmepumpe (grunn-vann)</t>
  </si>
  <si>
    <t>Fjernvarme</t>
  </si>
  <si>
    <t>Fordeling energikilder (%)</t>
  </si>
  <si>
    <t>Sol</t>
  </si>
  <si>
    <t>Varmepumpe (luft)</t>
  </si>
  <si>
    <t>Norsk miks</t>
  </si>
  <si>
    <t>Europeisk miks</t>
  </si>
  <si>
    <t>Valgt standard</t>
  </si>
  <si>
    <t>TEK17 (default)</t>
  </si>
  <si>
    <t>Lavkarbon B (default)</t>
  </si>
  <si>
    <t>Tiltak for å redusere utslipp fra bygningsmasse</t>
  </si>
  <si>
    <t>Reduksjon i snitt areal</t>
  </si>
  <si>
    <r>
      <rPr>
        <b/>
        <i/>
        <sz val="10"/>
        <color theme="1"/>
        <rFont val="Calibri"/>
        <family val="2"/>
        <scheme val="minor"/>
      </rPr>
      <t xml:space="preserve">Lavkarbon betong
</t>
    </r>
    <r>
      <rPr>
        <i/>
        <sz val="10"/>
        <color theme="1"/>
        <rFont val="Calibri"/>
        <family val="2"/>
        <scheme val="minor"/>
      </rPr>
      <t>Betong er et av bygningsmaterialene med høyeste klimagassutslipp og mange produsenter har utviklet betongtyper med lavere klimagassutslipp. Ved å velge en betongtype med lavere klimagassutslipp, kan klimapåvirkning av byggeprosjektet reduseres.</t>
    </r>
  </si>
  <si>
    <t>Velg betongtype</t>
  </si>
  <si>
    <t>% reduksjon</t>
  </si>
  <si>
    <t>TABELL 2 - Asfalterte arealer</t>
  </si>
  <si>
    <t xml:space="preserve">Tiltak for å redusere utslipp </t>
  </si>
  <si>
    <t>Redusert asfaltert areal</t>
  </si>
  <si>
    <t>TABELL A5 - Utslipp fra asfalt</t>
  </si>
  <si>
    <t>Opprinnelig asfaltert areal</t>
  </si>
  <si>
    <t>Energiklasse</t>
  </si>
  <si>
    <t>El-spesifikk</t>
  </si>
  <si>
    <t>Velg byggestandard</t>
  </si>
  <si>
    <t>Velg energikilder (El-spesifikk)</t>
  </si>
  <si>
    <t>Velg energikilder (varme)</t>
  </si>
  <si>
    <t>Sum areal
(m2)</t>
  </si>
  <si>
    <t>Energiforbruk
(kWt/m2)</t>
  </si>
  <si>
    <t>Sum forbruk
(kWt/år)</t>
  </si>
  <si>
    <t>Klimakalkulator for reguleringsplaner</t>
  </si>
  <si>
    <t>Nytt asfaltert areal</t>
  </si>
  <si>
    <t>Prosent reduksjon</t>
  </si>
  <si>
    <t>Valgmuligheter</t>
  </si>
  <si>
    <t>Prosentreduksjon</t>
  </si>
  <si>
    <t>Norsk El-miks</t>
  </si>
  <si>
    <t>Europeisk El-miks</t>
  </si>
  <si>
    <t xml:space="preserve">Elektrisitet </t>
  </si>
  <si>
    <t>etasjer</t>
  </si>
  <si>
    <t>(kg CO2e/m2 BRA)</t>
  </si>
  <si>
    <t>Sum utslipp (t CO2e)</t>
  </si>
  <si>
    <t>Sum utslipp
(t CO2e/legging)</t>
  </si>
  <si>
    <t>Asfaltert areal
(m2)</t>
  </si>
  <si>
    <t>Asfaltgrusbetong (default)</t>
  </si>
  <si>
    <t>Samlet utslipp (g CO2e/kWt)</t>
  </si>
  <si>
    <t>Energiforbruk
(kWt/m2/år)</t>
  </si>
  <si>
    <t>Utslippsfaktor
(g CO2e/kWt)</t>
  </si>
  <si>
    <t>Utslippsfaktor 
(g CO2e/kWt)</t>
  </si>
  <si>
    <t>Utslipp
(t CO2e/år)</t>
  </si>
  <si>
    <r>
      <rPr>
        <b/>
        <i/>
        <sz val="10"/>
        <color theme="1"/>
        <rFont val="Calibri"/>
        <family val="2"/>
        <scheme val="minor"/>
      </rPr>
      <t xml:space="preserve">Alternative asfalttyper
</t>
    </r>
    <r>
      <rPr>
        <i/>
        <sz val="10"/>
        <color theme="1"/>
        <rFont val="Calibri"/>
        <family val="2"/>
        <scheme val="minor"/>
      </rPr>
      <t>Det finnes alternative type asfalt som kan bidra til å redusere klimafotavtrykk for utbyggingsprosjektet. Alternativt kan det vurderes mulighet til å redusere det totale arealet som dekkes med asfalt.</t>
    </r>
  </si>
  <si>
    <t>(t CO2e)</t>
  </si>
  <si>
    <t>Arealtype</t>
  </si>
  <si>
    <t>Bebygd areal</t>
  </si>
  <si>
    <t>Skog, lav bonitet</t>
  </si>
  <si>
    <t>Skog, middels bonitet</t>
  </si>
  <si>
    <t>Skog, høy bonitet</t>
  </si>
  <si>
    <t>Jordbruksareal/innmarksbeite</t>
  </si>
  <si>
    <t>Myr</t>
  </si>
  <si>
    <t>Utslippsfaktor
(kg CO2e/m2)</t>
  </si>
  <si>
    <t>Utslipp
(t CO2e)</t>
  </si>
  <si>
    <t>Sum</t>
  </si>
  <si>
    <t>Utslipp fra energiforbruk i bygningsmasse beregnes ut fra sum areal oppgitt for utbyggingen, valgt bygningsstandard og valgt scenario for fordeling av energikilder. Netto forbruk beregnes for bygningsmasse, og utslippsfaktor basert på valgt scenario for fordeling av energikilder benyttes for å beregne netto utslipp. Årlig utslipp er deretter omgjort til utslipp fra levetiden (60 år).</t>
  </si>
  <si>
    <t>Redusert utslipp (t CO2e)</t>
  </si>
  <si>
    <t xml:space="preserve"> (kg CO2e/m3 betong)</t>
  </si>
  <si>
    <t>Tiltak for å redusere utslipp fra energiforbruk</t>
  </si>
  <si>
    <t>europeisk miks</t>
  </si>
  <si>
    <t>norsk miks</t>
  </si>
  <si>
    <t>Tiltak for å redusere utslipp fra arealbruk</t>
  </si>
  <si>
    <t>Type bil</t>
  </si>
  <si>
    <t>Diesel (inkl. hybrider)</t>
  </si>
  <si>
    <t xml:space="preserve">Bensin </t>
  </si>
  <si>
    <t xml:space="preserve">Diesel </t>
  </si>
  <si>
    <t>Elektrisk</t>
  </si>
  <si>
    <t>Bensin (inkl. hybrider)</t>
  </si>
  <si>
    <t>Destinasjon</t>
  </si>
  <si>
    <t>Andel</t>
  </si>
  <si>
    <t>Oslo</t>
  </si>
  <si>
    <t>Drammen</t>
  </si>
  <si>
    <t>Prosentvis andel, 2019</t>
  </si>
  <si>
    <t>Antall, 
2019</t>
  </si>
  <si>
    <t>Arealtype som endres</t>
  </si>
  <si>
    <t>Omgjort areal 
(m2)</t>
  </si>
  <si>
    <t>Kilde/kommentar</t>
  </si>
  <si>
    <t>C. Arealbruksendringer</t>
  </si>
  <si>
    <t>TABELL C1 - Utslippsfaktorer for arealbruksendringer</t>
  </si>
  <si>
    <t>TABELL C2 - Beregning av utslipp fra arealbruksendring</t>
  </si>
  <si>
    <t>Asker</t>
  </si>
  <si>
    <t>Bærum</t>
  </si>
  <si>
    <t>Lier</t>
  </si>
  <si>
    <t xml:space="preserve">Kommentar </t>
  </si>
  <si>
    <t>Andel privat bil</t>
  </si>
  <si>
    <t>Andel kollektivt, gange og sykkel</t>
  </si>
  <si>
    <t>Fremskrevet</t>
  </si>
  <si>
    <t>Basert på nåværende fordeling</t>
  </si>
  <si>
    <t>Prosentvis andel, 2020-2079</t>
  </si>
  <si>
    <t>Gjennomsnitt bilpark</t>
  </si>
  <si>
    <t>D. Transport</t>
  </si>
  <si>
    <t>over 60 år</t>
  </si>
  <si>
    <t>Utslipp NO 
(t CO2e/år)</t>
  </si>
  <si>
    <t>Utslipp EU 
(t CO2e/år)</t>
  </si>
  <si>
    <t>Jordbruksareal (inkl. innmarksbeite)</t>
  </si>
  <si>
    <t>Avstand til Skøyen antatt representativ</t>
  </si>
  <si>
    <t>Avstand til Bragernes torg antatt representativ</t>
  </si>
  <si>
    <t>Avstand til Lier rådhus antatt representativ</t>
  </si>
  <si>
    <t>Avstand til Asker sentrum antatt representativ</t>
  </si>
  <si>
    <t>Avstand til Sandvika antatt representativ</t>
  </si>
  <si>
    <t>Tiltak for å redusere utslipp fra transport</t>
  </si>
  <si>
    <t>Sum per år</t>
  </si>
  <si>
    <t>TABELL D1 - Fordeling av biltyper i Lier kommune</t>
  </si>
  <si>
    <t>TABELL D2 - Utslippsfaktorer for transportmidler</t>
  </si>
  <si>
    <t xml:space="preserve">TABELL D3 - Transportmiddelfordeling </t>
  </si>
  <si>
    <t>Energibruk</t>
  </si>
  <si>
    <t>Arealbruksendring</t>
  </si>
  <si>
    <t>Transport</t>
  </si>
  <si>
    <t>Bygningsmasse og uteområder</t>
  </si>
  <si>
    <t>Sum levetid (60 år)</t>
  </si>
  <si>
    <t xml:space="preserve">Vektet gjennomsnittlig avstand til arbeidsdestinasjoner </t>
  </si>
  <si>
    <t>Redusert tilgang til parkering</t>
  </si>
  <si>
    <r>
      <t xml:space="preserve">Fossilfri byggeplass
</t>
    </r>
    <r>
      <rPr>
        <i/>
        <sz val="10"/>
        <color theme="1"/>
        <rFont val="Calibri"/>
        <family val="2"/>
        <scheme val="minor"/>
      </rPr>
      <t xml:space="preserve">Ved å stille krav til fossilfri drift av byggeplassen er det mulig å redusere klimagassutslippene fra byggefasen. </t>
    </r>
  </si>
  <si>
    <t>Tiltak for å redusere utslipp fra byggefasen</t>
  </si>
  <si>
    <t>Velg type byggeplassdrift</t>
  </si>
  <si>
    <t>TABELL A6 - Utslipp fra byggeplass</t>
  </si>
  <si>
    <t>Type byggeplassdrift</t>
  </si>
  <si>
    <t>Byggeplass med fossil diesel (default)</t>
  </si>
  <si>
    <t>Byggeplass</t>
  </si>
  <si>
    <t>Sum areal 
(m2 BRA)</t>
  </si>
  <si>
    <t>Fossilfri byggeplass med biodiesel</t>
  </si>
  <si>
    <t>TABELL 5 - Arealbruksendring</t>
  </si>
  <si>
    <t>TABELL 6 - Transport</t>
  </si>
  <si>
    <t>TABELL C3 - Utslipp ved redusert areal som omgjøres</t>
  </si>
  <si>
    <t>Valgt reduksjon</t>
  </si>
  <si>
    <t>Scenario</t>
  </si>
  <si>
    <t xml:space="preserve">Utslippsfaktorene som er lagt til grunn for ulike biltyper er hentet fra NS 3720 tabell C.1. Det er tatt utgangspunkt i mellomstor personbil og gjennomsnittlig antall personer per bil er satt til 1,2. Utslippsfaktoren inkluderer klimagassutslipp fra forbrenning av drivstoff, produksjon av drivstoff, samt produksjonen av bilen og infrastruktur. Utslippsfaktoren er oppgitt både for norsk og europeisk elektrisitetsmiks, da karbonintensiteten til elektrisiteten vil påvirke klimagassutslippene fra elbiler. </t>
  </si>
  <si>
    <t>Energiklasse
(kWt/m2 BRA/år)</t>
  </si>
  <si>
    <t>Avstand fra ulike destinasjoner</t>
  </si>
  <si>
    <t>Kontor i tre</t>
  </si>
  <si>
    <t>Kontor i stål/betong</t>
  </si>
  <si>
    <t>Forretningsbygg i stål/betong</t>
  </si>
  <si>
    <t>Forretningsbygg i tre</t>
  </si>
  <si>
    <t>Industribygg/verksted i stål/betong</t>
  </si>
  <si>
    <t>Industribygg/verksted i tre</t>
  </si>
  <si>
    <t>Bygningskategori - næring</t>
  </si>
  <si>
    <t>Kontor</t>
  </si>
  <si>
    <t>Forretningsbygg</t>
  </si>
  <si>
    <t>Lett industribygning, verksted</t>
  </si>
  <si>
    <t>Type næringsbygg</t>
  </si>
  <si>
    <t>Lett industribygg</t>
  </si>
  <si>
    <t>Øvre Eiker</t>
  </si>
  <si>
    <t>Distanse per år
(km/år)</t>
  </si>
  <si>
    <t>Avstand til Hokksund antatt representativ</t>
  </si>
  <si>
    <t>Fyll ut tabellene med avstanden fra utbyggingsområdet (målt i km) til de gitte destinasjonene. Alle avstander må være fylt inn for at antall kjørte kilometer som genereres for hvert utbyggingsområde skal kunne beregnes.</t>
  </si>
  <si>
    <t>Total for alle bygg</t>
  </si>
  <si>
    <t>Totalt areal for bygningstype (m2)</t>
  </si>
  <si>
    <t>Antall åpne dager 
per år 
(dager/år)</t>
  </si>
  <si>
    <t>Totalt antall turer generert per år (turer/år)</t>
  </si>
  <si>
    <t>Antall turer per 
døgn per 100 m2
(tur/døgn/m2)</t>
  </si>
  <si>
    <t xml:space="preserve">Andel privatbil </t>
  </si>
  <si>
    <t>TABELL D4 - Arbeidsreiser: Destinasjon</t>
  </si>
  <si>
    <t>TABELL D5 - Turgenerering næringsbygg</t>
  </si>
  <si>
    <t>Kontorbygg</t>
  </si>
  <si>
    <t>Industribygg/verksted</t>
  </si>
  <si>
    <t xml:space="preserve">TABELL D7 - Beregning av utslipp fra transport - med tiltak </t>
  </si>
  <si>
    <t>Valgt type parkeringsrestriksjon</t>
  </si>
  <si>
    <t>Ingen restriksjoner (default)</t>
  </si>
  <si>
    <t>Velg parkeringssituasjon</t>
  </si>
  <si>
    <r>
      <t xml:space="preserve">Redusert totalt areal
</t>
    </r>
    <r>
      <rPr>
        <i/>
        <sz val="10"/>
        <color theme="1"/>
        <rFont val="Calibri"/>
        <family val="2"/>
        <scheme val="minor"/>
      </rPr>
      <t>Ved å redusere totalt areal på byggene vil utslipp knyttet til bygningsmasse kunne reduseres. Velg ønsket prosentvis reduksjon.</t>
    </r>
  </si>
  <si>
    <t>Utbyggingsområde:</t>
  </si>
  <si>
    <t>Dato:</t>
  </si>
  <si>
    <t>Forutsetninger for beregningene</t>
  </si>
  <si>
    <t>Hovedscenario</t>
  </si>
  <si>
    <t>Scenario med tiltak</t>
  </si>
  <si>
    <t>Energiklasse bygg</t>
  </si>
  <si>
    <t>Energiforsyning, el</t>
  </si>
  <si>
    <t>Strøm</t>
  </si>
  <si>
    <t>Energiforsyning, varme</t>
  </si>
  <si>
    <t>Strøm (panelovn/elkjel)</t>
  </si>
  <si>
    <t>Parkeringsrestriksjoner</t>
  </si>
  <si>
    <t>Nei (default)</t>
  </si>
  <si>
    <t>Oppsummering av resultater</t>
  </si>
  <si>
    <t>MED EUROPEISK ELMIKS</t>
  </si>
  <si>
    <t xml:space="preserve">Endring i klimagassutslipp med tiltak: </t>
  </si>
  <si>
    <t>=</t>
  </si>
  <si>
    <t>MED NORSK ELMIKS</t>
  </si>
  <si>
    <t>Fyll inn navn</t>
  </si>
  <si>
    <t>Utbyggingsområde</t>
  </si>
  <si>
    <t>Dato for utfylling</t>
  </si>
  <si>
    <t>Fyll inn dato</t>
  </si>
  <si>
    <t>Varmepumpe (væske)</t>
  </si>
  <si>
    <t>Strøm og varmepumpe (luft-luft)</t>
  </si>
  <si>
    <t>Strøm og varmepumpe (væske-vann)</t>
  </si>
  <si>
    <t>Sum alle materialer</t>
  </si>
  <si>
    <t>Sum ubebygd areal som endres</t>
  </si>
  <si>
    <t>Velg prosent reduksjon</t>
  </si>
  <si>
    <t xml:space="preserve">Velg prosent reduksjon snitt areal </t>
  </si>
  <si>
    <t>Velg parkeringstilgjengelighet</t>
  </si>
  <si>
    <t>Sum (over 60 år)</t>
  </si>
  <si>
    <t>TABELL B1 - Totalt netto energibehov</t>
  </si>
  <si>
    <r>
      <t>Totalt over 60 år (tonn CO</t>
    </r>
    <r>
      <rPr>
        <b/>
        <vertAlign val="subscript"/>
        <sz val="10"/>
        <color theme="1"/>
        <rFont val="Calibri"/>
        <family val="2"/>
        <scheme val="minor"/>
      </rPr>
      <t>2</t>
    </r>
    <r>
      <rPr>
        <b/>
        <sz val="10"/>
        <color theme="1"/>
        <rFont val="Calibri"/>
        <family val="2"/>
        <scheme val="minor"/>
      </rPr>
      <t>e)</t>
    </r>
  </si>
  <si>
    <r>
      <t>tonn CO</t>
    </r>
    <r>
      <rPr>
        <vertAlign val="subscript"/>
        <sz val="11"/>
        <color theme="1"/>
        <rFont val="Calibri"/>
        <family val="2"/>
        <scheme val="minor"/>
      </rPr>
      <t>2</t>
    </r>
    <r>
      <rPr>
        <sz val="11"/>
        <color theme="1"/>
        <rFont val="Calibri"/>
        <family val="2"/>
        <scheme val="minor"/>
      </rPr>
      <t>e</t>
    </r>
  </si>
  <si>
    <r>
      <t>Kalkulatoren benytter utslippsfaktorene fra Tabell A1 og areal for prosjektet f</t>
    </r>
    <r>
      <rPr>
        <i/>
        <sz val="10"/>
        <rFont val="Calibri"/>
        <family val="2"/>
        <scheme val="minor"/>
      </rPr>
      <t>ra Tabell 1 for å beregne summen av utslippene fra bygningsmassen over 60 år</t>
    </r>
    <r>
      <rPr>
        <i/>
        <sz val="10"/>
        <color theme="1"/>
        <rFont val="Calibri"/>
        <family val="2"/>
        <scheme val="minor"/>
      </rPr>
      <t>. Beregning av utslipp fra betong holdes adskilt for å kunne synliggjøre effekten knyttet til valg av ulike typer betong (se tabell A4).</t>
    </r>
  </si>
  <si>
    <t>Kalkulatoren åpner for ulike tiltak knyttet for å redusere klimagassutslipp fra bygningsmassen. Tabell A3 regner ut klimagassutslipp fra bygningsmassen med tiltak knyttet til en redusert snitt areal (m2 BRA).</t>
  </si>
  <si>
    <t xml:space="preserve">Asfaltert areal fra tabell 2 benyttes for å beregne utslipp knyttet til asfalt. Kalkulatoren gir mulighet å velge tiltak for å redusere klimagassutslipp fra asfalt, enten ved å redusere asfaltert areal eller ved valg av asfalttyper med lavere klimagassutslipp per mengdeenhet. Kalkulatoren forutsetter at asfalt har en 30 års levetid, og må dermed legges på nytt en gang i løpet av et 60-års perspektiv. Utslippstall er dermed doblet for å gjenspeile dette. Utslippsfaktorene for asfalt er hentet fra VegLCA og det er antatt at det legges et 5 cm tykt lag. </t>
  </si>
  <si>
    <t>Sum utslipp
(t CO2e/per legging)</t>
  </si>
  <si>
    <t>Kjøling</t>
  </si>
  <si>
    <t>Varme</t>
  </si>
  <si>
    <t>Fordeling energibehov (%)</t>
  </si>
  <si>
    <t>Velg energikilder (kjøling)</t>
  </si>
  <si>
    <t>Andel privatbil basert på valgte parkerings- restriksjoner</t>
  </si>
  <si>
    <t>Resultater</t>
  </si>
  <si>
    <r>
      <rPr>
        <b/>
        <sz val="11"/>
        <color theme="1"/>
        <rFont val="Calibri"/>
        <family val="2"/>
        <scheme val="minor"/>
      </rPr>
      <t xml:space="preserve">Bruk av kalkulatoren
</t>
    </r>
    <r>
      <rPr>
        <sz val="11"/>
        <color theme="1"/>
        <rFont val="Calibri"/>
        <family val="2"/>
        <scheme val="minor"/>
      </rPr>
      <t>Klimakalkulatoren er bygd opp i Excel slik at forutsetninger og beregninger er synlige. Utbyggeren skal fylle ut informasjon om utbyggingen i fanen &lt;</t>
    </r>
    <r>
      <rPr>
        <i/>
        <sz val="11"/>
        <color theme="1"/>
        <rFont val="Calibri"/>
        <family val="2"/>
        <scheme val="minor"/>
      </rPr>
      <t>Utbyggingsinformasjon</t>
    </r>
    <r>
      <rPr>
        <sz val="11"/>
        <color theme="1"/>
        <rFont val="Calibri"/>
        <family val="2"/>
        <scheme val="minor"/>
      </rPr>
      <t xml:space="preserve">&gt;. Cellene som skal fylles ut av brukeren er gule. </t>
    </r>
  </si>
  <si>
    <r>
      <t>Begrensninger</t>
    </r>
    <r>
      <rPr>
        <sz val="11"/>
        <color theme="1"/>
        <rFont val="Calibri"/>
        <family val="2"/>
        <scheme val="minor"/>
      </rPr>
      <t xml:space="preserve">
Klimakalkulatoren er ikke en fritekst kalkulator, den er bygd opp med standard forutsetninger og predefinerte scenarioer og enkelte valgmuligheter. Følgelig gir klimakalkulatoren en indikasjon av klimagassutslipp, og ikke et absolutt tall eller detaljert klimagassbudsjett. Videre, fokuserer klimakalkulatoren på utvalgte kilder til vesentlig klimagassutslipp, og hvor det er mulighet til å påvirke disse gjennom reguleringsplanbestemmelser eller krav fra kommunen. Kalkulatoren gir dermed ikke et fult bilde av alt utslipp fra en utbygging, og det er det relative utslippet som er av størst interesse for å vurdere effekten av ulike tiltak og justeringer, samt for kommunen å sammenligne ulike utbyggingsprosjekter med hverandre. Ytterlige kommentarer knyttet til forutsetninger, begrensninger og forbehold gis i fane &lt;</t>
    </r>
    <r>
      <rPr>
        <i/>
        <sz val="11"/>
        <color theme="1"/>
        <rFont val="Calibri"/>
        <family val="2"/>
        <scheme val="minor"/>
      </rPr>
      <t>Forutsetninger og beregninger</t>
    </r>
    <r>
      <rPr>
        <sz val="11"/>
        <color theme="1"/>
        <rFont val="Calibri"/>
        <family val="2"/>
        <scheme val="minor"/>
      </rPr>
      <t>&gt;.</t>
    </r>
  </si>
  <si>
    <r>
      <t>En oversikt over de beregnede klimagassutslippene for utbyggingsområdet vises i i fanen &lt;</t>
    </r>
    <r>
      <rPr>
        <i/>
        <sz val="11"/>
        <color theme="1"/>
        <rFont val="Calibri"/>
        <family val="2"/>
        <scheme val="minor"/>
      </rPr>
      <t>Resultat</t>
    </r>
    <r>
      <rPr>
        <sz val="11"/>
        <color theme="1"/>
        <rFont val="Calibri"/>
        <family val="2"/>
        <scheme val="minor"/>
      </rPr>
      <t>&gt; fordelt på de ulike temaene. Denne fanen er tilpasset i størrelse slik at den kan printes ut eller lagres som PDF. All tekst og resultater genereres automatisk ut ifra brukerens input og valg i fanen &lt;</t>
    </r>
    <r>
      <rPr>
        <i/>
        <sz val="11"/>
        <color theme="1"/>
        <rFont val="Calibri"/>
        <family val="2"/>
        <scheme val="minor"/>
      </rPr>
      <t>Utbyggingsinformasjon</t>
    </r>
    <r>
      <rPr>
        <sz val="11"/>
        <color theme="1"/>
        <rFont val="Calibri"/>
        <family val="2"/>
        <scheme val="minor"/>
      </rPr>
      <t xml:space="preserve">&gt;. </t>
    </r>
  </si>
  <si>
    <t>TABELL B6 - Scenarioer for energiforsyning  (kjøling)</t>
  </si>
  <si>
    <t>TABELL B7 - Fordeling av energiforbruk mellom el-spesifikk, varme og kjøling</t>
  </si>
  <si>
    <t>TABELL B8 - Beregning av utslipp fra energiforsyning - med tiltak</t>
  </si>
  <si>
    <t>TABELL B4 - Scenarioer for energiforsyning (el-spesifikk)</t>
  </si>
  <si>
    <t>TABELL B5 - Scenarioer for energiforsyning  (varme)</t>
  </si>
  <si>
    <r>
      <t xml:space="preserve">Redusere areal som berøres av utbyggingen
</t>
    </r>
    <r>
      <rPr>
        <i/>
        <sz val="10"/>
        <rFont val="Calibri"/>
        <family val="2"/>
        <scheme val="minor"/>
      </rPr>
      <t xml:space="preserve">Ved å redusere andelen areal med vegetasjon som graves opp og berøres av utbyggingen er det mulig å redusere klimagassutslipp. Velg prosentandel reduksjon i beslaglagt areal. </t>
    </r>
  </si>
  <si>
    <t>TABELL A7 - Utslipp fra byggeplass, massetransport</t>
  </si>
  <si>
    <t>Opprinnelig mengde masser</t>
  </si>
  <si>
    <t>Redusert mengde masser</t>
  </si>
  <si>
    <t>Massetransport</t>
  </si>
  <si>
    <t>Mengde masser 
(tonn)</t>
  </si>
  <si>
    <t>Utslippsfaktor 
(kg CO2e/tonn.km)</t>
  </si>
  <si>
    <t>Transport med lastebil</t>
  </si>
  <si>
    <t>Bedre massebalanse</t>
  </si>
  <si>
    <t>Velg prosent reduksjon i masser</t>
  </si>
  <si>
    <t>Ny mengde masse (tonn)</t>
  </si>
  <si>
    <r>
      <t>Totalt over 60 år per BRA (tonn CO</t>
    </r>
    <r>
      <rPr>
        <b/>
        <vertAlign val="subscript"/>
        <sz val="10"/>
        <color theme="1"/>
        <rFont val="Calibri"/>
        <family val="2"/>
        <scheme val="minor"/>
      </rPr>
      <t>2</t>
    </r>
    <r>
      <rPr>
        <b/>
        <sz val="10"/>
        <color theme="1"/>
        <rFont val="Calibri"/>
        <family val="2"/>
        <scheme val="minor"/>
      </rPr>
      <t>e/m</t>
    </r>
    <r>
      <rPr>
        <b/>
        <vertAlign val="superscript"/>
        <sz val="10"/>
        <color theme="1"/>
        <rFont val="Calibri"/>
        <family val="2"/>
        <scheme val="minor"/>
      </rPr>
      <t>2</t>
    </r>
    <r>
      <rPr>
        <b/>
        <sz val="10"/>
        <color theme="1"/>
        <rFont val="Calibri"/>
        <family val="2"/>
        <scheme val="minor"/>
      </rPr>
      <t>)</t>
    </r>
  </si>
  <si>
    <t>Anleggsmaskiner</t>
  </si>
  <si>
    <t>Massetransport (tonn)</t>
  </si>
  <si>
    <t>Reduserte parkeringsmuligheter kan bidra til å redusere andelen som velger å reise med privatbil. Velg type parkeringsnorm.</t>
  </si>
  <si>
    <t xml:space="preserve">Klimakalkulatoren er bygd opp med to kolonner. Til venstre er bakgrunnsinformasjon om utbyggingen hvor utbyggeren kan legge inn informasjon om bygningsmasse, asfalterte arealer og avstand til ulike reisemål (gule felt). Basert på bakgrunnsinformasjonen beregner kalkulatoren et klimagassutslipp.
Kolonnen til høyde inneholder ulike tiltak som utbyggeren kan velge for å senke klimagassutslipp. Kalkulatoren beregner ut nytt klimagassutslipp med tiltak.
</t>
  </si>
  <si>
    <t>One Click LCA, fjernvarme i Norge, forventet gjennomsnitt over neste 60 år</t>
  </si>
  <si>
    <t>Kjølemaskin</t>
  </si>
  <si>
    <t>Tall for netto energibehov i næringsbyggene for energiklassen TEK17 er hentet fra energirammene i TEK 17. Tallene for passivhus er hentet fra One Click LCA, hvor det er lagt til grunn en årsmiddeltemperatur 5.7 (forbrukerradet.no).  Netto energibehov benyttes videre til å regne ut totalt årlig energiforbruk i bygningsmassen.</t>
  </si>
  <si>
    <t>NS 3720:2018, tabell B.1, NO (gjennomsnitt 2015-2075)</t>
  </si>
  <si>
    <t>NS 3720:2018, tabell B.1, EU28+NO (gjennomsnitt 2015-2075)</t>
  </si>
  <si>
    <t>NS 3720:2018, tabell B.1, solenergi = 13-190 g CO2e/kWt, benyttet et gjennomsnitt</t>
  </si>
  <si>
    <t>NS 3031:2014, tillegg B (systemvirkningsgrad 2,18)</t>
  </si>
  <si>
    <t>NS 3031:2014, tillegg B (systemvirkningsgrad 2,45)</t>
  </si>
  <si>
    <t>NS 3031:2014, tillegg B (systemvirkningsgrad 2,40)</t>
  </si>
  <si>
    <t>Tabellen under gir flere scenarioer for energiforsyning til næringsbyggene. Energibehovet er delt mellom el-spesifikk, varme og kjøling, og en fordeling av energikildene er gjort for disse kategoriene. Denne tabellen gjelder fordeling for el-spesifikk energi. Kalkulatoren legger til grunn at den samme fordelingen gjelder alle bygg i utbyggingen.</t>
  </si>
  <si>
    <t>Tabellen under gir flere scenarioer for energiforsyning til næringsbyggene. Energibehovet er delt mellom el-spesifikk, varme og kjøling, og en fordeling av energikildene er gjort for disse kategoriene. Denne tabellen gjelder energiforsyning for varme. Kalkulatoren legger til grunn at den samme fordelingen gjelder alle byggene i utbyggingen.</t>
  </si>
  <si>
    <t>Tabellen under gir flere scenarioer for energiforsyning til næringsbyggene. Energibehovet er delt mellom el-spesifikk, varme og kjøling, og en fordeling av energikildene er gjort for disse kategoriene. Denne tabellen gjelder energiforsyning for kjøling. Kalkulatoren legger til grunn at den samme fordelingen gjelder alle byggene i utbyggingen.</t>
  </si>
  <si>
    <t xml:space="preserve">Utslippene fra arealbruksendringen beregnes ut ifra total areal som berøres av utbyggingen fra tabell 5. For å finne arealtypene som finnes i utbyggingsområdet kan NIBIO sin ressurs "Kilden" benyttes (kilden.nibio.no). Her oppgis også boniteten i skogsområder. </t>
  </si>
  <si>
    <r>
      <t>Utslippsfaktorene som er benyttet i beregningene av klimagassutslipp fra arealbruksendringer er hentet fra VegLCA. For disse utslip</t>
    </r>
    <r>
      <rPr>
        <i/>
        <sz val="10"/>
        <rFont val="Calibri"/>
        <family val="2"/>
        <scheme val="minor"/>
      </rPr>
      <t>psfaktorene er det lagt til grunn at alt karbon som finnes i vegetasjon og jordsmonn frigis og at dette skjer over en periode på 60 år. I utslippsfaktoren for skog er både karbonet i vegetasjonen (trær) og skogbunnen medregnet. Det er differensiert mellom skog meg lav, middels og høy bonitet, hvor boniteten sier noe om skogens produksjonsevne.</t>
    </r>
    <r>
      <rPr>
        <i/>
        <sz val="10"/>
        <color theme="1"/>
        <rFont val="Calibri"/>
        <family val="2"/>
        <scheme val="minor"/>
      </rPr>
      <t xml:space="preserve"> </t>
    </r>
  </si>
  <si>
    <t xml:space="preserve">Ved valg av tiltaket som går på reduksjon av berørt areal legges det til grunn at alle de valgte arealtypene reduseres like mye (om utbyggingsområdet inneholder flere arealtyper). Dette er en forenkling og det er f.eks. ikke mulig å spesifisere at kun en gitt arealtype berøres av reduksjonen. Reduksjonen i utslipp vil derfor være proporsjonal med valgt reduksjon av areal. </t>
  </si>
  <si>
    <t>Arbeidsreiser (til kontor- og industribygg)</t>
  </si>
  <si>
    <t>Handels- og tjenestereiser (til forretningsbygg)</t>
  </si>
  <si>
    <r>
      <t>Innpendling til Lier kommune er hentet fra SSB sin tabell nr. 03321 "Sysselsatte (15-74 år), pendlingsstrømmer" fra 2019. De seks destinasjonene hvor flesteparten av kommunens arbeidere pendler fra er inkludert i kalkulatoren. Disse destinasjonene utgjør destinasjonen for omtrent 90 % av de som pendler inn til kommunen.</t>
    </r>
    <r>
      <rPr>
        <i/>
        <sz val="10"/>
        <color rgb="FFC00000"/>
        <rFont val="Calibri"/>
        <family val="2"/>
        <scheme val="minor"/>
      </rPr>
      <t xml:space="preserve">
</t>
    </r>
  </si>
  <si>
    <t xml:space="preserve">Klimagassutslipp for transporten som genereres fra utbyggingsområdet beregnes i denne tabellen. Andelen privatbil for industri/verksted og kontorbygg er antatt å være lik som for arbeidsreiser i Lier kommune, mens andelen privatbil for forretningsbygg er antatt å være lik som for handels- og tjenestereiser i Lier kommune, som vist i tabell D3. Kjørt distanse per år stammer fra tabell D5 og utslippsfaktorene for bilparken er et gjennomsnitt over 60 år som beregnet i tabell D2. </t>
  </si>
  <si>
    <t>Utslipp over 60 år</t>
  </si>
  <si>
    <t>TABELL A3 - Effekt av redusert bygningsareal</t>
  </si>
  <si>
    <t>Sum utslipp over 60 år (t CO2e)</t>
  </si>
  <si>
    <t xml:space="preserve">Klimagassutslippene fra massetransport beregnes ut ifra antall tonn masser og avstanden som er lagt inn av brukeren i tabell 3. Utslippsfaktoren for transporten er hentet fra One Click LCA, og det er antatt at massene transporteres med lastebil. Det beregnes både utslipp for opprinnelig mengde masser som legges inn, samt utslipp ved valgt prosentvis reduksjon av masser. Kalkulatoren bruker samme utslippsfaktor for både lastebil med og uten last. </t>
  </si>
  <si>
    <t>Distanse en vei 
(km)</t>
  </si>
  <si>
    <t>Utslipp t/r
(tonn CO2e)</t>
  </si>
  <si>
    <t>TABELL B3 - Beregning av utslipp fra energiforsyning - default (100% elektrisitet fra nettet)</t>
  </si>
  <si>
    <t>Elektrisitet fra nettet</t>
  </si>
  <si>
    <t xml:space="preserve">Arealbruksendringer vil resultere i utslipp av klimagasser da det organiske materialet som er lagret i vegetasjonen og jordsmonnet som graves opp og fjernes vil brytes ned og karbon vil frigis. Kalkulatoren inkluderer ulike arealtyper hvor det kan angis hvor stort areal av hver type som går tapt som følge av utbyggingen. Utslippsfaktorene som er lagt til grunn representerer et scenario hvor alt biologisk materiale som finnes i vegetasjon og jord vil brytes ned og føre til utslipp av klimagasser. Hvor mye karbon som frigis vil avhenge av hva som skjer med massene etter at de er gravd opp og hvor mye som eventuelt ender opp på deponi og hvor mye som brukes til andre formål. Om arealet var bebygd eller uten økologisk verdi før utbyggingen beregnes det ikke klimagassutslipp for dette arealet. </t>
  </si>
  <si>
    <t>Opprinnelig utslipp 
(t CO2e)</t>
  </si>
  <si>
    <t>Redusert utslipp
(t CO2e)</t>
  </si>
  <si>
    <t>Utslippsfaktor med norsk elmiks
(g CO2e/km)</t>
  </si>
  <si>
    <t>Utslippsfaktor med europeisk elmiks
(g CO2e/km)</t>
  </si>
  <si>
    <t>Klimagassutslipp over 60 år</t>
  </si>
  <si>
    <t>Transportavstand masser - en vei (km)</t>
  </si>
  <si>
    <t>Massetransport - både inn/ut (tonn)</t>
  </si>
  <si>
    <r>
      <t xml:space="preserve">Endre energikilder til elektrisitet og varme
</t>
    </r>
    <r>
      <rPr>
        <i/>
        <sz val="10"/>
        <color theme="1"/>
        <rFont val="Calibri"/>
        <family val="2"/>
        <scheme val="minor"/>
      </rPr>
      <t>Kalkulatoren benytter elektrisitet levert av nettselskap som default kilder for både el-spesifikk, varme og kjøling. Ved å velge en annen sammensetning av energikilder kan det føre til redusert klimagassutslipp. Kalkulatoren inneholder et utvalg scenarioer for energiforsyning.</t>
    </r>
  </si>
  <si>
    <t xml:space="preserve">Arealbruksendringer kan potensielt bidra med betydelige klimagassutslipp for et utbyggingsområde. I tabellen skrives det inn hvor stort areal av de definerte arealtypene som omgjøres til bebygd areal. Med bebygd areal menes bebyggelse og anlegg, asfaltert areal og annen teknisk infrastruktur.
Oppgi areal på de ulike kategoriene under som vil omgjøres til bebygd areal. For informasjon om skogens bonitet, ser https://kilden.nibio.no/. Dersom bonitet ikke er kjent, velg middels bonitet.
</t>
  </si>
  <si>
    <t>Avstand en vei (km)</t>
  </si>
  <si>
    <r>
      <t>TABELL D6 - Beregning av utslipp fra transport - defaul</t>
    </r>
    <r>
      <rPr>
        <b/>
        <sz val="10"/>
        <rFont val="Calibri"/>
        <family val="2"/>
        <scheme val="minor"/>
      </rPr>
      <t>t (ingen parkeringsrestriksjoner)</t>
    </r>
  </si>
  <si>
    <t>Frikjøling</t>
  </si>
  <si>
    <t xml:space="preserve">Utslipp med valgt betongtype: </t>
  </si>
  <si>
    <t>Utslipp med valgt asfalttype:</t>
  </si>
  <si>
    <t>Utslipp med valgt byggeplassdrift:</t>
  </si>
  <si>
    <t>Utslipp med valgt energikilde:</t>
  </si>
  <si>
    <t xml:space="preserve">Det kan velges mellom tre predefinerte bygningskategorier, med to materialvalg inne hvert alternativ. Fyll ut tabellen med totalt areal (målt som BRA) som skal bygges av hver bygningstype. Om det bygges et kombinert bygg, f.eks. forretning med kontor på toppen legges arealet for de respektive bygningstypene inn under hver sin kategori. </t>
  </si>
  <si>
    <t>Utslipp med valgt reduksjon:</t>
  </si>
  <si>
    <t>Distanse 
(km/år)</t>
  </si>
  <si>
    <t>Default beregning av utslipp fra energiforsyning i kalkulatoren baserer seg på TEK17 standard og bruk av 100  % strøm til oppvarming og elektrisk utstyr. Kjølebehov dekkes av kjølemaskin. Tabell B8 inneholder en beregning av default utslipp etter evt. tiltak er valgt.</t>
  </si>
  <si>
    <t>Klimakalkulator for reguleringsplan - Lier kommune - Næringsbygg</t>
  </si>
  <si>
    <r>
      <t>Totalt areal (m</t>
    </r>
    <r>
      <rPr>
        <vertAlign val="superscript"/>
        <sz val="10"/>
        <color theme="1"/>
        <rFont val="Calibri"/>
        <family val="2"/>
        <scheme val="minor"/>
      </rPr>
      <t>2</t>
    </r>
    <r>
      <rPr>
        <sz val="10"/>
        <color theme="1"/>
        <rFont val="Calibri"/>
        <family val="2"/>
        <scheme val="minor"/>
      </rPr>
      <t xml:space="preserve"> BRA)</t>
    </r>
  </si>
  <si>
    <r>
      <t>Asfaltert areal (m</t>
    </r>
    <r>
      <rPr>
        <vertAlign val="superscript"/>
        <sz val="10"/>
        <color theme="1"/>
        <rFont val="Calibri"/>
        <family val="2"/>
        <scheme val="minor"/>
      </rPr>
      <t>2</t>
    </r>
    <r>
      <rPr>
        <sz val="10"/>
        <color theme="1"/>
        <rFont val="Calibri"/>
        <family val="2"/>
        <scheme val="minor"/>
      </rPr>
      <t>)</t>
    </r>
  </si>
  <si>
    <r>
      <t>Arealbruksendring (m</t>
    </r>
    <r>
      <rPr>
        <vertAlign val="superscript"/>
        <sz val="10"/>
        <color theme="1"/>
        <rFont val="Calibri"/>
        <family val="2"/>
        <scheme val="minor"/>
      </rPr>
      <t>2</t>
    </r>
    <r>
      <rPr>
        <sz val="10"/>
        <color theme="1"/>
        <rFont val="Calibri"/>
        <family val="2"/>
        <scheme val="minor"/>
      </rPr>
      <t>)</t>
    </r>
  </si>
  <si>
    <t>Energiforsyning, kjøling</t>
  </si>
  <si>
    <t xml:space="preserve">Kalkulatoren regner ut utslipp i et 60-års perspektiv. Utslippsfaktorene for elektrisitet og fjernvarme baserer seg på forventet gjennomsnittstall for utslipp fra 2015 - 2075. Dette 60-årsgjennomsnittet antar at utslippene fra elektrisitet vil avta lineært til 2050 og forbli på det nivået til slutten av perioden. For fjernvarme er det antatt at utslippene vil være tilnærmet lik null i 2050. Dette antas å gi et representativt bilde av energirelaterte utslipp over bygningsmassens livsløp. For å tilfredsstille krav til datagrunnlag for elektrisitet fra nett iht. NS 3720, benyttes det to ulike scenarioer for elektrisitetsforsyning; norsk og europeisk forbruksmiks. Utslippsfaktorene for solceller er hentet fra NS 3720 og inkluderer materialutslippet fra produksjon av solcellene. De øvrige tekniske systemene for de ulike energiforsyningsløsningene ser bort fra utslippet i produktstadiet, og inkluderer kun utslipp i driftsfasen. Utslippsfaktorene for varmepumpe og kjølemaskin er basert på utslippet fra elektrisitet, men innregnet gjeldende virkningsgrad slik at energiforbruket, og dermed også utslippene, reduseres. </t>
  </si>
  <si>
    <t xml:space="preserve">Frikjøling mot for eksempel brønnpark gir tilnærmet "gratis" energi, antar derfor null utslipp for dette alternativet. </t>
  </si>
  <si>
    <t xml:space="preserve">Ved valg av tiltak med parkeringsrestriksjoner antas det at andelen privatbil reduseres som beskrevet i tabell D3. Tabellen under beregner klimagassutslippene ved valg av en gitt parkeringstilgjengelighet ved destinasjonen. </t>
  </si>
  <si>
    <t>NÆRINGSBYGG</t>
  </si>
  <si>
    <r>
      <t xml:space="preserve">Endre byggestandard
</t>
    </r>
    <r>
      <rPr>
        <i/>
        <sz val="10"/>
        <color theme="1"/>
        <rFont val="Calibri"/>
        <family val="2"/>
        <scheme val="minor"/>
      </rPr>
      <t>Utbyggeren har mulighet til å bygge næringsbyggene til en høyere energistandard enn TEK17. Dette vil kunne redusere energibehov til oppvarming, noe som kan gi redusert klimagassutslipp. Velg evt. høyere energistandard for byggene.</t>
    </r>
  </si>
  <si>
    <t>Lett industribygg/verksted</t>
  </si>
  <si>
    <r>
      <rPr>
        <b/>
        <sz val="11"/>
        <color theme="1"/>
        <rFont val="Calibri"/>
        <family val="2"/>
        <scheme val="minor"/>
      </rPr>
      <t>Introduksjon</t>
    </r>
    <r>
      <rPr>
        <sz val="11"/>
        <color theme="1"/>
        <rFont val="Calibri"/>
        <family val="2"/>
        <scheme val="minor"/>
      </rPr>
      <t xml:space="preserve">
Klimakalkulatoren er utarbeidet som et overordnet og forenklet verktøy for å synliggjøre klimagassutslipp fra sentrale kilder i forbindelse med reguleringsplanarbeid. Kalkulatoren inneholder også tiltak som kan gjøres for å redusere klimagassutslipp. Utgangspunktet for tiltakslisten er avgrenset til forhold som kommunen kan stille krav til på reguleringsplannivå, eller som forslagsstiller selv kan fastsette i reguleringsbestemmelsene. Det er imidlertid med noen tiltak som faller utenfor dette. 
Klimakalkulatoren er utarbeidet for å gjelde utbyggingprosjekter i Lier kommune. Andre typer prosjekter som for eksempel samferdsel omfattes ikke av denne kalkulatoren. Fordi forutsetningene for utslipp for de ulike bebyggelsestypene er såpass ulik er det blitt utarbeidet en kalkulator for boligprosjekter og en kalkulator for næringbebyggelse. Denne kalkulatoren gjelder for næringsbebyggelse, som omfatter kontor, forretningbygg og industri/verksted.  Klimakalkulatoren er ikke en fritekst-kalkulator, og er basert på standard forutsetninger og predefinerte valg. Resultatene er ment som en indikasjon over klimagassutslipp og ikke et absolutt tall. Kalkulatoren erstatter ikke en fullverdig klimagassberegning for et prosjekt.</t>
    </r>
  </si>
  <si>
    <t>Klimagassutslippene fra transport for næringsbygg beregnes for arbeidsreiser til kontorbygg og industri/verksted og for handels- og tjenestereiser til forretningsbygg. 
I hovedberegningen er det lagt til grunn at det ikke finnes spesifiserte parkeringsrestriksjoner på området.</t>
  </si>
  <si>
    <t>Strøm og solceller</t>
  </si>
  <si>
    <t>Resultatrapport for utbyggingsområde</t>
  </si>
  <si>
    <t>TABELLL 0 - Generell informasjon om utbyggingsområdet</t>
  </si>
  <si>
    <t>TABELL 1 - Bygningsmasse og materialer</t>
  </si>
  <si>
    <t>TABELL 3 - Byggeplass</t>
  </si>
  <si>
    <t>TABELL 4 - Energibruk</t>
  </si>
  <si>
    <t>Utslippsfaktor bilpark, m/EU el 
(g CO2e/km)</t>
  </si>
  <si>
    <t>Utslippsfaktor bilpark, m/NO el
(g CO2e/km)</t>
  </si>
  <si>
    <t>Maksnorm 6-8 p-plasser per 1000 m2 BRA</t>
  </si>
  <si>
    <t>Maksnorm 19-24 p-plasser per 1000 m2 BRA</t>
  </si>
  <si>
    <t>Maksnorm 13-18 p-plasser per 1000 m2 BRA</t>
  </si>
  <si>
    <t>Maksnorm 9-12 p-plasser per 1000 m2 BRA</t>
  </si>
  <si>
    <t>Distanse for reisende 
(km/tur)</t>
  </si>
  <si>
    <t xml:space="preserve">Oppgi totalt areal med asfaltdekke i utbyggingen. Dette inkluderer både kjørevei, parkeringsplasser med mer. Det skal ikke legges inn offentlig regulert areal, kun private arealer og fellesareal. </t>
  </si>
  <si>
    <t xml:space="preserve">Mye av klimagassutslippene fra byggefasen kommer fra anleggsmaskinene som benyttes på byggeplassen. I hovedberegningen er det lagt til grunn gjennomsnittlige utslipp fra byggeplass, hvor maskinene går på fossilt diesel. 
I tillegg vil massetransport bidra til klimagassutslipp fra et utbyggingsområde. Nedenfor skal sum mengde masser som transporteres inn og/eller ut av byggeplassen fylles inn. I tillegg skal det angis en omtrentlig avstand som massene transporteres.   
</t>
  </si>
  <si>
    <t xml:space="preserve">Ved å minimere mengden masser som transporteres inn eller ut av byggeplassen kan man redusere klimagassutslippene fra massetransport. </t>
  </si>
  <si>
    <t xml:space="preserve">Energiforbruk i bygninger er en viktig faktor i det totale utslippet i byggenes levetid. Utslippstall som vises under baserer seg på standard forbrukstall for kontorbygg, forretningsbygg og industribygg/verksted, og at næringsbyggene bygges etter TEK17. Det legges også til grunn at all energi til elektriske apparater, oppvarming og varmtvann kommer fra strøm levert av nettselskap og kjølebehovet dekkes av kjølemaskin.
De beregnede klimagassutslippene fra energiforbruk i byggene vises for to scenarioer. Forskjellen er at det benyttes utslippsfaktor for norsk elektrisitetsmiks i det ene scenarioet og utslippsfaktor for europeisk elektrisitetsmiks i det andre. 
</t>
  </si>
  <si>
    <t>Kalkulatoren er bygd opp med utgangspunkt i standard faktorer for energiforbruk i næringsbygg. Disse benyttes til å beregne netto energibehov for bygningsmassen. Utslippsfaktorene er avhengig av hvilke energikilder som benyttes, og fordelingen mellom disse. Kalkulatoren har kartlagt flere typiske scenarioer for fordeling av energikilder i næringsbygg, og utbyggeren skal velge det scenarioet som vurderes som mest relevant. Det bør bemerkes at utslipp fra energikilder kun gir en indikasjon på faktisk energiforbruk og klimagassutslipp. Faktisk energiforbruk er avhengig av flere forhold, bl.a. brukernes faktiske valg av energikilder og bruksmønster. Videre er utslippsfaktorene som er lagt inn gjeldene for et 60 års perspektiv og disse kan i løpet av tidsperioden endres, f.eks. ved teknologiske fremskritt eller mer effektive produksjonsmetoder.</t>
  </si>
  <si>
    <t xml:space="preserve">Tabellen under viser fordeling mellom energiforbruk til el-spesifikk, varme og kjøling. Ved høyere bygningsstandard (f.eks. passivhus) vil det være mindre varmebehov i bygget, og andel energiforbruk knyttet til varmen vil dermed være lavere. Fordelingen i denne tabellen benyttes for å regne ut en samlet utslippsfaktor basert på valg av energikilde gitt i tabell B4, B5 og B6. Fordeling mellom el-spesifikk, varme og kjøling er hentet fra One Click LCA.  </t>
  </si>
  <si>
    <t xml:space="preserve">Kalkulatoren inkluderer beregning av klimagassutslipp fra arbeidsreiser og handels- og tjenestereiser. For kontorbygg og industribygg/verksted er det hovedsakelig arbeidsreiser som medregnes, altså for de ansatte med tilknytning til bygget. For forretningsbygg er det hovedsakelig handels- og tjenestereiser som medregnes, altså for kundene til forretningen. Kalkulatoren beregner klimagassutslippene fra personbiler, basert på transportmiddelfordelingen i kommunen for en gitt type reise. Om arbeidstakerne og kundene benytter kollektivt, går eller sykler til bygget er dette i denne sammenheng antatt å være klimanøytralt. Siden det vil forekomme store variasjoner innad i bygningskategoriene, f.eks. at både en dagligvarebutikk og en møbelforretning inngår i kategorien forretningsbygg, kan antall daglige kunder variere mye. Dette vil videre føre til en usikkerhet i utslippene som beregnes da det er brukt gjennomsnittlige tall for antall turer som genereres daglig for de ulike bygningskategoriene. </t>
  </si>
  <si>
    <t>Fordelingen av biltyper er hentet fra SSB sin tabell nr. 11823 Registrerte kjøretøy etter drivstofftype (2019), som viser fordelingen mellom typer personbiler i kommunen. Denne fordelingen er antatt å være gjeldene for brukerne av næringsbyggene. I tabellen er ladbare og ikke-ladbare diesel- og bensinhybrider slått sammen med hhv. rene diesel og bensinbiler. Biltyper med andre drivstoff er antatt neglisjerbare da disse utgjorde en minimal del av den totale bilbestanden i kommunen. For å reflektere endringen i kjøretøybestanden 60 år frem i tid, og ta høyde for at andelen elbiler vil øke, er det benyttet et gjennomsnitt for 2020-2079 i beregningene. Gjennomsnittet er basert på en framskriving av kjøretøyparken utført av TØI, og deres scenario "NB19-banen" er benyttet.</t>
  </si>
  <si>
    <t xml:space="preserve">Transportmiddelfordelingen som er lagt til grunn er hentet fra RVU for Buskerudbyen utført av Urbanet Analyse i 2018. Fordelingen av arbeidsreiser og handels- og tjenestereiser er gjeldende for Lier kommune. Resultatene fra RVUen er antatt gjeldende for en situasjon hvor det ikke finnes noen konkrete parkeringsrestriksjoner, da det fremkom i RVUen at det var god tilgang på gratis parkeringsmuligheter. Andelen kollektivt, gange og sykkel er slått sammen i kalkulatoren da det kun beregnes klimagassutslipp fra bruk av bil som transportmiddel. Parkeringsrestriksjonene det kan velges mellom som et tiltak til å redusere andel som reiser med bil er hentet fra One Click LCA. Det er her tatt utgangspunkt i maksimumsnormer med 19-24, 13-18, 9-12 og 6-8 parkeringsplasser per 1000 m2 bebygd areal (BRA), hvor andelen privat bil reduseres med hhv. 20 %, 35 %, 50 % og 60 % ved valg av de ulike parkeringssituasjonene. Det er antatt at parkeringsrestriksjonene vil ha samme effekt for arbeidsreiser og handels- og tjenestereiser. </t>
  </si>
  <si>
    <r>
      <t xml:space="preserve">Antall turer per døgn som genereres for de ulike bygningstypene er hentet fra Statens vegvesen sin håndbok V713 Trafikkberegninger. Tabellen hvor dataene er hentet fra finnes på side 55 i håndboken. For kontor- og industribygg er det hovedsakelig medregent klimagassutslipp for arbeidsreiser, altså for de ansatte som jobber ved bygget. For forretningsbygg er det hovedsakelig medregnet klimagassutslipp for handels- og tjenestereiser, altså for kundene som besøker forretningen. </t>
    </r>
    <r>
      <rPr>
        <i/>
        <sz val="10"/>
        <rFont val="Calibri"/>
        <family val="2"/>
        <scheme val="minor"/>
      </rPr>
      <t>Kjørt distanse for kontor- og industribygg er basert på et vektet gjennomsnitt av kjørt distanse for innpendlere fra tabell D4. Kjørt distanse for forretningsbygg er basert på</t>
    </r>
    <r>
      <rPr>
        <i/>
        <sz val="10"/>
        <color rgb="FFFF0000"/>
        <rFont val="Calibri"/>
        <family val="2"/>
        <scheme val="minor"/>
      </rPr>
      <t xml:space="preserve"> </t>
    </r>
    <r>
      <rPr>
        <i/>
        <sz val="10"/>
        <rFont val="Calibri"/>
        <family val="2"/>
        <scheme val="minor"/>
      </rPr>
      <t xml:space="preserve">gjennomsnittlig distanse for handels- og servicereiser i Buskerudbyen fra RVUen. </t>
    </r>
    <r>
      <rPr>
        <i/>
        <sz val="10"/>
        <color rgb="FFFF0000"/>
        <rFont val="Calibri"/>
        <family val="2"/>
        <scheme val="minor"/>
      </rPr>
      <t xml:space="preserve">
</t>
    </r>
  </si>
  <si>
    <t xml:space="preserve">Kalkulatoren er bygd opp med ulike bygningstype med og uten kjeller. For å forenkle kalkulatoren, og unngå behov for detaljert kunnskap over bygningene, er det lagt til grunn standard forutsetninger for de ulike kategoriene (se Tabell A1). Det er benyttet OneClick LCA til beregning av utslippsfaktorene, og det er i hovedsak benyttet default verdier i programvaren. Resultat er utslippsfaktorer per m2 BRA, og disse benyttes til å regne ut sum utslipp basert på data over planlagt utbyggingen. Resultatet gir en indikasjon over størrelsesorden knyttet til bygningsmasse, den gir ikke en nøyaktig klimagassbudsjett for utbyggingen. </t>
  </si>
  <si>
    <t xml:space="preserve">One Click LCA er benyttet for å beregne utslipp fra bygningsmasse. Denne kalkulatoren skal ikke beregne nøyaktig klimagassutslipp fra bygningsmasse, og det er beregnet utslippsfaktorer for typiske bygningstyper med antatt areal og antall etasje. Tabellen under viser forutsetningene som er lagt til grunn i One Click for beregning av utslippsfaktorene. Utslippsfaktoren inkluderer livsløpsfasene materialproduksjon og -transport til byggeplass, byggefase (kapp og svinn), vedlikehold og utskiftninger, samt avhending av bygningsmassen etter 60 år. </t>
  </si>
  <si>
    <t>Det finnes ulike lavkarbonbetong-produkter i markedet, og valg av lavkarbonbetong kan være med på å redusere klimagassutslipp fra bygningsmassen. One Click LCA benytter lavkarbon B som default, og dette vurderes som en realistisk default verdi med tanke på tilgjengelighet i Lier-området. Som valgalternativer er det lagt inn lavkarbonklasse A og Pluss, som har lavere klimagassutslipp per mengdeenhet. Utslippsfaktorene i tabellen er hentet fra Norsk betongforening sin publikasjon 37 Lavkarbonbetong (2020), og det er tatt utgangspunkt i betong med fasthetsklasse B35. Beregninger i Tabell A4 tar hensyn til evt. redusert snitt areal gitt i Tabell A3.</t>
  </si>
  <si>
    <r>
      <t>Klimagassberegningene</t>
    </r>
    <r>
      <rPr>
        <sz val="11"/>
        <color theme="1"/>
        <rFont val="Calibri"/>
        <family val="2"/>
        <scheme val="minor"/>
      </rPr>
      <t xml:space="preserve">
Klimagassberegningene baserer seg på metodikken beskrevet i NS 3720 Metode for klimgassberegninger for bygninger, noe som legger til rette for et helhetlig bilde av utbyggingsområdenes klimagassutslipp i et livsløpsperspektiv. Kalkulatoren beregner utslipp for en antatt levetid på 60 år, da dette er satt som standard beregningsperiode i NS 3720. Kalkulatoren benytter anerkjente utslippsfaktorer og kildene oppgis i fanen &lt;</t>
    </r>
    <r>
      <rPr>
        <i/>
        <sz val="11"/>
        <color theme="1"/>
        <rFont val="Calibri"/>
        <family val="2"/>
        <scheme val="minor"/>
      </rPr>
      <t>Forutsetninger og beregninger</t>
    </r>
    <r>
      <rPr>
        <sz val="11"/>
        <color theme="1"/>
        <rFont val="Calibri"/>
        <family val="2"/>
        <scheme val="minor"/>
      </rPr>
      <t>&gt;. Klimagassutslipp oppgis med enhet CO</t>
    </r>
    <r>
      <rPr>
        <vertAlign val="subscript"/>
        <sz val="11"/>
        <color theme="1"/>
        <rFont val="Calibri"/>
        <family val="2"/>
        <scheme val="minor"/>
      </rPr>
      <t>2</t>
    </r>
    <r>
      <rPr>
        <sz val="11"/>
        <color theme="1"/>
        <rFont val="Calibri"/>
        <family val="2"/>
        <scheme val="minor"/>
      </rPr>
      <t>-ekvivalenter, forkortet CO</t>
    </r>
    <r>
      <rPr>
        <vertAlign val="subscript"/>
        <sz val="11"/>
        <color theme="1"/>
        <rFont val="Calibri"/>
        <family val="2"/>
        <scheme val="minor"/>
      </rPr>
      <t>2</t>
    </r>
    <r>
      <rPr>
        <sz val="11"/>
        <color theme="1"/>
        <rFont val="Calibri"/>
        <family val="2"/>
        <scheme val="minor"/>
      </rPr>
      <t>e. Enheten sammenveier utslipp av forskjellige klimagasser til den globale oppvarmingseffekten som utslipp av 1 tonn CO</t>
    </r>
    <r>
      <rPr>
        <vertAlign val="subscript"/>
        <sz val="11"/>
        <color theme="1"/>
        <rFont val="Calibri"/>
        <family val="2"/>
        <scheme val="minor"/>
      </rPr>
      <t>2</t>
    </r>
    <r>
      <rPr>
        <sz val="11"/>
        <color theme="1"/>
        <rFont val="Calibri"/>
        <family val="2"/>
        <scheme val="minor"/>
      </rPr>
      <t xml:space="preserve"> vil ha i løpet av 100 år</t>
    </r>
    <r>
      <rPr>
        <b/>
        <sz val="11"/>
        <color theme="1"/>
        <rFont val="Calibri"/>
        <family val="2"/>
        <scheme val="minor"/>
      </rPr>
      <t xml:space="preserve">
</t>
    </r>
    <r>
      <rPr>
        <sz val="11"/>
        <color theme="1"/>
        <rFont val="Calibri"/>
        <family val="2"/>
        <scheme val="minor"/>
      </rPr>
      <t>Temaene som omfattes av kalkulatoren er:
- Materialbruk i bygningsmassen og områder utomhus
- Materialtransport til byggeplass og byggefase
- Energibruk i drift av bygninger
- Arealbruksendringer som følge av utbyggingen
- Transport av beboere/brukere</t>
    </r>
  </si>
  <si>
    <t>Klimagassutslipp over 60 år (anleggsplass)</t>
  </si>
  <si>
    <t>Klimagassutslipp over 60 år (masser)</t>
  </si>
  <si>
    <t>Utslippsfri byggeplass med elektrisitet</t>
  </si>
  <si>
    <t>Utslippsfaktor, med norsk elmiks 
(kg CO2e/m2 BRA)</t>
  </si>
  <si>
    <t>Utslippsfaktor, med EU elmiks 
(kg CO2e/m2 BRA)</t>
  </si>
  <si>
    <t>Utslipp, med norsk elmiks
(tonn CO2e)</t>
  </si>
  <si>
    <t>Utslipp, med EU elmiks
(tonn CO2e)</t>
  </si>
  <si>
    <t xml:space="preserve">Utslippsfaktoren som benyttes for å beregne klimagassutslipp fra byggeplass er hentet fra One Click LCA. Utslippsfaktoren som er brukt er definert som "Gjennomsnittlig byggeplasspåvirkning i Norden" og inkluderer utslipp både fra avfall som genereres på byggeplassen, samt drivstofforbruk til anleggsmaskiner. Som default brukes utslippsfaktor for byggeplass med dieseldrevne maskiner, mens ved valg av fossilfri byggeplass er det antatt at maskinene benytter biodiesel. Utslippsfaktoren for utslippsfri byggeplass er utledet fra energiforbruket gitt for de andre utslippsfaktorene fra One Click LCA. Her er energiforbruket i form av diesel omregnet til elektrisk energi som kreves i byggeprosessen. </t>
  </si>
  <si>
    <t xml:space="preserve">t CO₂e </t>
  </si>
  <si>
    <t xml:space="preserve">t CO₂e  </t>
  </si>
  <si>
    <t>versjon 1.2 - sist oppdatert 22.06.2021, Norconsult.</t>
  </si>
  <si>
    <t>Asfaltert areal (m²)</t>
  </si>
  <si>
    <t xml:space="preserve">m² </t>
  </si>
  <si>
    <t>Sum areal
(m²  BRA)</t>
  </si>
  <si>
    <r>
      <t xml:space="preserve">Redusert asfaltert areal
</t>
    </r>
    <r>
      <rPr>
        <i/>
        <sz val="10"/>
        <color theme="1"/>
        <rFont val="Calibri"/>
        <family val="2"/>
        <scheme val="minor"/>
      </rPr>
      <t>Ved å redusere areal dekket med asfalt kan tilhørende utslipp reduseres. Oppgi et nytt og redusert antall m²  med asfaltdekke.</t>
    </r>
  </si>
  <si>
    <t>Areal (m²)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</si>
</sst>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b/>
      <sz val="9"/>
      <color theme="1"/>
      <name val="Calibri"/>
      <family val="2"/>
      <scheme val="minor"/>
    </font>
    <font>
      <b/>
      <i/>
      <sz val="10"/>
      <color theme="1"/>
      <name val="Calibri"/>
      <family val="2"/>
      <scheme val="minor"/>
    </font>
    <font>
      <i/>
      <sz val="9"/>
      <color theme="1"/>
      <name val="Calibri"/>
      <family val="2"/>
      <scheme val="minor"/>
    </font>
    <font>
      <b/>
      <sz val="12"/>
      <color theme="1"/>
      <name val="Calibri"/>
      <family val="2"/>
      <scheme val="minor"/>
    </font>
    <font>
      <b/>
      <u/>
      <sz val="10"/>
      <color theme="1"/>
      <name val="Calibri"/>
      <family val="2"/>
      <scheme val="minor"/>
    </font>
    <font>
      <sz val="10"/>
      <color theme="1"/>
      <name val="Arial"/>
      <family val="2"/>
    </font>
    <font>
      <i/>
      <sz val="10"/>
      <color rgb="FFFF0000"/>
      <name val="Calibri"/>
      <family val="2"/>
      <scheme val="minor"/>
    </font>
    <font>
      <b/>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Calibri"/>
      <family val="2"/>
      <scheme val="minor"/>
    </font>
    <font>
      <sz val="9"/>
      <color theme="1"/>
      <name val="Calibri"/>
      <family val="2"/>
      <scheme val="minor"/>
    </font>
    <font>
      <b/>
      <sz val="10"/>
      <color rgb="FFFF0000"/>
      <name val="Calibri"/>
      <family val="2"/>
      <scheme val="minor"/>
    </font>
    <font>
      <i/>
      <sz val="10"/>
      <name val="Calibri"/>
      <family val="2"/>
      <scheme val="minor"/>
    </font>
    <font>
      <sz val="10"/>
      <color rgb="FFC00000"/>
      <name val="Calibri"/>
      <family val="2"/>
      <scheme val="minor"/>
    </font>
    <font>
      <i/>
      <sz val="10"/>
      <color rgb="FFC00000"/>
      <name val="Calibri"/>
      <family val="2"/>
      <scheme val="minor"/>
    </font>
    <font>
      <b/>
      <i/>
      <sz val="10"/>
      <name val="Calibri"/>
      <family val="2"/>
      <scheme val="minor"/>
    </font>
    <font>
      <b/>
      <i/>
      <sz val="10"/>
      <color rgb="FFC00000"/>
      <name val="Calibri"/>
      <family val="2"/>
      <scheme val="minor"/>
    </font>
    <font>
      <sz val="9"/>
      <name val="Calibri"/>
      <family val="2"/>
      <scheme val="minor"/>
    </font>
    <font>
      <b/>
      <sz val="16"/>
      <color theme="1"/>
      <name val="Calibri"/>
      <family val="2"/>
      <scheme val="minor"/>
    </font>
    <font>
      <b/>
      <vertAlign val="subscript"/>
      <sz val="10"/>
      <color theme="1"/>
      <name val="Calibri"/>
      <family val="2"/>
      <scheme val="minor"/>
    </font>
    <font>
      <vertAlign val="subscript"/>
      <sz val="11"/>
      <color theme="1"/>
      <name val="Calibri"/>
      <family val="2"/>
      <scheme val="minor"/>
    </font>
    <font>
      <i/>
      <sz val="11"/>
      <color theme="1"/>
      <name val="Calibri"/>
      <family val="2"/>
      <scheme val="minor"/>
    </font>
    <font>
      <b/>
      <i/>
      <sz val="9"/>
      <color theme="1"/>
      <name val="Calibri"/>
      <family val="2"/>
      <scheme val="minor"/>
    </font>
    <font>
      <b/>
      <vertAlign val="superscript"/>
      <sz val="10"/>
      <color theme="1"/>
      <name val="Calibri"/>
      <family val="2"/>
      <scheme val="minor"/>
    </font>
    <font>
      <b/>
      <sz val="10"/>
      <color rgb="FFC00000"/>
      <name val="Calibri"/>
      <family val="2"/>
      <scheme val="minor"/>
    </font>
    <font>
      <vertAlign val="superscript"/>
      <sz val="10"/>
      <color theme="1"/>
      <name val="Calibri"/>
      <family val="2"/>
      <scheme val="minor"/>
    </font>
    <font>
      <b/>
      <sz val="22"/>
      <color theme="1"/>
      <name val="Calibri"/>
      <family val="2"/>
      <scheme val="minor"/>
    </font>
    <font>
      <b/>
      <sz val="14"/>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top style="dashed">
        <color auto="1"/>
      </top>
      <bottom style="dashed">
        <color auto="1"/>
      </bottom>
      <diagonal/>
    </border>
    <border>
      <left/>
      <right style="thick">
        <color theme="4" tint="-0.24994659260841701"/>
      </right>
      <top/>
      <bottom/>
      <diagonal/>
    </border>
    <border>
      <left/>
      <right style="thick">
        <color theme="2" tint="-0.499984740745262"/>
      </right>
      <top/>
      <bottom/>
      <diagonal/>
    </border>
    <border>
      <left/>
      <right style="thick">
        <color theme="9"/>
      </right>
      <top/>
      <bottom/>
      <diagonal/>
    </border>
    <border>
      <left/>
      <right/>
      <top style="medium">
        <color indexed="64"/>
      </top>
      <bottom/>
      <diagonal/>
    </border>
    <border>
      <left style="thin">
        <color indexed="64"/>
      </left>
      <right style="dotted">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s>
  <cellStyleXfs count="3">
    <xf numFmtId="0" fontId="0" fillId="0" borderId="0"/>
    <xf numFmtId="0" fontId="10" fillId="0" borderId="0"/>
    <xf numFmtId="9" fontId="13" fillId="0" borderId="0" applyFont="0" applyFill="0" applyBorder="0" applyAlignment="0" applyProtection="0"/>
  </cellStyleXfs>
  <cellXfs count="532">
    <xf numFmtId="0" fontId="0" fillId="0" borderId="0" xfId="0"/>
    <xf numFmtId="0" fontId="1" fillId="0" borderId="0" xfId="0" applyFont="1"/>
    <xf numFmtId="0" fontId="2" fillId="0" borderId="0" xfId="0" applyFont="1"/>
    <xf numFmtId="0" fontId="1" fillId="4" borderId="0" xfId="0" applyFont="1" applyFill="1"/>
    <xf numFmtId="0" fontId="3" fillId="4" borderId="0" xfId="0" applyFont="1" applyFill="1"/>
    <xf numFmtId="0" fontId="3" fillId="4" borderId="4" xfId="0" applyFont="1" applyFill="1" applyBorder="1"/>
    <xf numFmtId="0" fontId="3" fillId="4" borderId="5" xfId="0" applyFont="1" applyFill="1" applyBorder="1"/>
    <xf numFmtId="0" fontId="1" fillId="4" borderId="1" xfId="0" applyFont="1" applyFill="1" applyBorder="1"/>
    <xf numFmtId="0" fontId="1" fillId="4" borderId="14" xfId="0" applyFont="1" applyFill="1" applyBorder="1" applyAlignment="1">
      <alignment vertical="center"/>
    </xf>
    <xf numFmtId="0" fontId="3" fillId="4" borderId="4" xfId="0" applyFont="1" applyFill="1" applyBorder="1" applyAlignment="1">
      <alignment horizontal="center"/>
    </xf>
    <xf numFmtId="0" fontId="3" fillId="4" borderId="17" xfId="0" applyFont="1" applyFill="1" applyBorder="1" applyAlignment="1">
      <alignment horizontal="center"/>
    </xf>
    <xf numFmtId="0" fontId="1" fillId="4" borderId="2" xfId="0" applyFont="1" applyFill="1" applyBorder="1"/>
    <xf numFmtId="0" fontId="2" fillId="4" borderId="0" xfId="0" applyFont="1" applyFill="1"/>
    <xf numFmtId="0" fontId="4" fillId="4" borderId="0" xfId="0" applyFont="1" applyFill="1" applyAlignment="1">
      <alignment vertical="top" wrapText="1"/>
    </xf>
    <xf numFmtId="0" fontId="3" fillId="4" borderId="0" xfId="0" applyFont="1" applyFill="1" applyBorder="1"/>
    <xf numFmtId="0" fontId="1" fillId="4" borderId="0" xfId="0" applyFont="1" applyFill="1" applyBorder="1"/>
    <xf numFmtId="0" fontId="1" fillId="8" borderId="0" xfId="0" applyFont="1" applyFill="1"/>
    <xf numFmtId="0" fontId="1" fillId="4" borderId="0" xfId="0" applyFont="1" applyFill="1" applyBorder="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 fillId="8" borderId="0" xfId="0" applyFont="1" applyFill="1" applyAlignment="1">
      <alignment vertical="center"/>
    </xf>
    <xf numFmtId="0" fontId="1" fillId="4" borderId="0" xfId="0" applyFont="1" applyFill="1" applyAlignment="1">
      <alignment vertical="center"/>
    </xf>
    <xf numFmtId="0" fontId="1" fillId="4" borderId="0" xfId="0" quotePrefix="1" applyFont="1" applyFill="1" applyBorder="1" applyAlignment="1">
      <alignment vertical="center"/>
    </xf>
    <xf numFmtId="1" fontId="1" fillId="4" borderId="0" xfId="0" applyNumberFormat="1" applyFont="1" applyFill="1" applyBorder="1" applyAlignment="1">
      <alignment horizontal="center" vertical="center"/>
    </xf>
    <xf numFmtId="0" fontId="3" fillId="4" borderId="0" xfId="0" applyFont="1" applyFill="1" applyBorder="1" applyAlignment="1">
      <alignment horizontal="center"/>
    </xf>
    <xf numFmtId="1" fontId="1" fillId="4" borderId="0" xfId="0" applyNumberFormat="1" applyFont="1" applyFill="1" applyBorder="1"/>
    <xf numFmtId="9" fontId="1" fillId="4" borderId="1" xfId="0" applyNumberFormat="1" applyFont="1" applyFill="1" applyBorder="1" applyAlignment="1">
      <alignment horizontal="center" vertical="center"/>
    </xf>
    <xf numFmtId="0" fontId="6" fillId="4" borderId="0" xfId="0" applyFont="1" applyFill="1" applyAlignment="1">
      <alignment horizontal="left" vertical="top" wrapText="1"/>
    </xf>
    <xf numFmtId="0" fontId="4" fillId="4" borderId="0" xfId="0" applyFont="1" applyFill="1" applyAlignment="1">
      <alignment horizontal="center" vertical="top" wrapText="1"/>
    </xf>
    <xf numFmtId="0" fontId="4" fillId="8" borderId="0" xfId="0" applyFont="1" applyFill="1" applyAlignment="1">
      <alignment vertical="top" wrapText="1"/>
    </xf>
    <xf numFmtId="0" fontId="3" fillId="4" borderId="0" xfId="0" applyFont="1" applyFill="1" applyBorder="1" applyAlignment="1"/>
    <xf numFmtId="9" fontId="1" fillId="4" borderId="2" xfId="0" applyNumberFormat="1" applyFont="1" applyFill="1" applyBorder="1" applyAlignment="1">
      <alignment horizontal="center"/>
    </xf>
    <xf numFmtId="1" fontId="1" fillId="4" borderId="0" xfId="0" applyNumberFormat="1" applyFont="1" applyFill="1"/>
    <xf numFmtId="9" fontId="1" fillId="4" borderId="1" xfId="0" applyNumberFormat="1" applyFont="1" applyFill="1" applyBorder="1" applyAlignment="1">
      <alignment horizontal="center" vertical="center" wrapText="1"/>
    </xf>
    <xf numFmtId="9" fontId="1" fillId="4" borderId="0" xfId="0" applyNumberFormat="1" applyFont="1" applyFill="1" applyBorder="1" applyAlignment="1">
      <alignment horizontal="center" vertical="center"/>
    </xf>
    <xf numFmtId="0" fontId="1" fillId="5" borderId="0" xfId="0" applyFont="1" applyFill="1"/>
    <xf numFmtId="0" fontId="4" fillId="5" borderId="0" xfId="0" applyFont="1" applyFill="1" applyAlignment="1">
      <alignment vertical="top" wrapText="1"/>
    </xf>
    <xf numFmtId="0" fontId="4" fillId="5" borderId="0" xfId="0" applyFont="1" applyFill="1" applyAlignment="1">
      <alignment vertical="center" wrapText="1"/>
    </xf>
    <xf numFmtId="0" fontId="6" fillId="5" borderId="0" xfId="0" applyFont="1" applyFill="1" applyAlignment="1">
      <alignment vertical="top" wrapText="1"/>
    </xf>
    <xf numFmtId="0" fontId="5" fillId="5" borderId="0" xfId="0" applyFont="1" applyFill="1" applyAlignment="1">
      <alignment horizontal="right"/>
    </xf>
    <xf numFmtId="0" fontId="5" fillId="8" borderId="0" xfId="0" applyFont="1" applyFill="1" applyAlignment="1">
      <alignment horizontal="right"/>
    </xf>
    <xf numFmtId="9" fontId="1" fillId="8" borderId="0" xfId="0" applyNumberFormat="1" applyFont="1" applyFill="1" applyBorder="1"/>
    <xf numFmtId="0" fontId="4" fillId="5" borderId="0" xfId="0" applyFont="1" applyFill="1" applyAlignment="1">
      <alignment horizontal="left" vertical="top" wrapText="1"/>
    </xf>
    <xf numFmtId="0" fontId="1" fillId="5" borderId="0" xfId="0" applyFont="1" applyFill="1" applyAlignment="1">
      <alignment vertical="center" wrapText="1"/>
    </xf>
    <xf numFmtId="0" fontId="1" fillId="5" borderId="0" xfId="0" applyFont="1" applyFill="1" applyBorder="1" applyAlignment="1">
      <alignment vertical="center" wrapText="1"/>
    </xf>
    <xf numFmtId="0" fontId="3" fillId="4" borderId="3" xfId="0" applyFont="1" applyFill="1" applyBorder="1" applyAlignment="1">
      <alignment horizontal="center" vertical="center"/>
    </xf>
    <xf numFmtId="1" fontId="1" fillId="3" borderId="3" xfId="0" applyNumberFormat="1" applyFont="1" applyFill="1" applyBorder="1" applyAlignment="1">
      <alignment horizontal="center" vertical="center"/>
    </xf>
    <xf numFmtId="0" fontId="3" fillId="4" borderId="1" xfId="0" applyFont="1" applyFill="1" applyBorder="1" applyAlignment="1">
      <alignment horizontal="center" wrapText="1"/>
    </xf>
    <xf numFmtId="0" fontId="1" fillId="4" borderId="2" xfId="0" applyFont="1" applyFill="1" applyBorder="1" applyAlignment="1">
      <alignment vertical="center" wrapText="1"/>
    </xf>
    <xf numFmtId="0" fontId="1" fillId="4" borderId="2" xfId="0" applyFont="1" applyFill="1" applyBorder="1" applyAlignment="1">
      <alignment vertical="center"/>
    </xf>
    <xf numFmtId="0" fontId="3" fillId="4" borderId="2" xfId="0" applyFont="1" applyFill="1" applyBorder="1" applyAlignment="1">
      <alignment horizontal="center" vertical="center" wrapText="1"/>
    </xf>
    <xf numFmtId="9" fontId="1" fillId="5" borderId="10" xfId="0" applyNumberFormat="1" applyFont="1" applyFill="1" applyBorder="1" applyAlignment="1">
      <alignment horizontal="center" vertical="center"/>
    </xf>
    <xf numFmtId="0" fontId="4" fillId="4" borderId="0" xfId="0" applyFont="1" applyFill="1" applyAlignment="1">
      <alignment horizontal="left" vertical="top" wrapText="1"/>
    </xf>
    <xf numFmtId="0" fontId="8" fillId="6" borderId="0" xfId="0" applyFont="1" applyFill="1" applyAlignment="1">
      <alignment horizontal="left" vertical="center"/>
    </xf>
    <xf numFmtId="0" fontId="3" fillId="4" borderId="0" xfId="0" applyFont="1" applyFill="1" applyBorder="1" applyAlignment="1">
      <alignment horizontal="left"/>
    </xf>
    <xf numFmtId="0" fontId="9" fillId="5" borderId="0" xfId="0" applyFont="1" applyFill="1" applyAlignment="1">
      <alignment vertical="top"/>
    </xf>
    <xf numFmtId="0" fontId="1" fillId="8" borderId="21" xfId="0" applyFont="1" applyFill="1" applyBorder="1"/>
    <xf numFmtId="0" fontId="1" fillId="4" borderId="21" xfId="0" applyFont="1" applyFill="1" applyBorder="1"/>
    <xf numFmtId="1" fontId="1" fillId="4" borderId="21" xfId="0" applyNumberFormat="1" applyFont="1" applyFill="1" applyBorder="1"/>
    <xf numFmtId="0" fontId="2" fillId="4" borderId="21" xfId="0" applyFont="1" applyFill="1" applyBorder="1"/>
    <xf numFmtId="0" fontId="1" fillId="6" borderId="0" xfId="0" applyFont="1" applyFill="1"/>
    <xf numFmtId="0" fontId="1" fillId="7" borderId="0" xfId="0" applyFont="1" applyFill="1"/>
    <xf numFmtId="0" fontId="3" fillId="7" borderId="0" xfId="0" applyFont="1" applyFill="1" applyAlignment="1">
      <alignment vertical="top"/>
    </xf>
    <xf numFmtId="0" fontId="4" fillId="7" borderId="0" xfId="0" applyFont="1" applyFill="1" applyAlignment="1">
      <alignment vertical="top" wrapText="1"/>
    </xf>
    <xf numFmtId="0" fontId="7" fillId="7" borderId="0" xfId="0" applyFont="1" applyFill="1" applyAlignment="1">
      <alignment wrapText="1"/>
    </xf>
    <xf numFmtId="0" fontId="5" fillId="7" borderId="0" xfId="0" applyFont="1" applyFill="1" applyAlignment="1">
      <alignment horizontal="right"/>
    </xf>
    <xf numFmtId="0" fontId="3" fillId="4" borderId="13" xfId="0" applyFont="1" applyFill="1" applyBorder="1" applyAlignment="1">
      <alignment horizontal="center" vertical="center" wrapText="1"/>
    </xf>
    <xf numFmtId="0" fontId="1" fillId="8" borderId="0" xfId="0" applyFont="1" applyFill="1" applyBorder="1"/>
    <xf numFmtId="0" fontId="1" fillId="5" borderId="0" xfId="0" applyFont="1" applyFill="1" applyAlignment="1">
      <alignment horizontal="right"/>
    </xf>
    <xf numFmtId="0" fontId="2" fillId="8" borderId="0" xfId="0" applyFont="1" applyFill="1"/>
    <xf numFmtId="1" fontId="1" fillId="5" borderId="5" xfId="0" applyNumberFormat="1" applyFont="1" applyFill="1" applyBorder="1" applyAlignment="1">
      <alignment horizontal="center"/>
    </xf>
    <xf numFmtId="1" fontId="1" fillId="5" borderId="1" xfId="0" applyNumberFormat="1" applyFont="1" applyFill="1" applyBorder="1" applyAlignment="1">
      <alignment horizontal="center"/>
    </xf>
    <xf numFmtId="1" fontId="1" fillId="3" borderId="1" xfId="0" applyNumberFormat="1" applyFont="1" applyFill="1" applyBorder="1" applyAlignment="1">
      <alignment horizontal="right" vertical="center"/>
    </xf>
    <xf numFmtId="0" fontId="1" fillId="5" borderId="0" xfId="0" applyFont="1" applyFill="1" applyAlignment="1">
      <alignment vertical="center"/>
    </xf>
    <xf numFmtId="9" fontId="1" fillId="5" borderId="1" xfId="0" applyNumberFormat="1" applyFont="1" applyFill="1" applyBorder="1" applyAlignment="1">
      <alignment horizontal="center"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43" xfId="0" applyFont="1" applyFill="1" applyBorder="1" applyAlignment="1">
      <alignment vertical="center"/>
    </xf>
    <xf numFmtId="0" fontId="1" fillId="4" borderId="44" xfId="0" applyFont="1" applyFill="1" applyBorder="1" applyAlignment="1">
      <alignment vertical="center" wrapText="1"/>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4" borderId="43" xfId="0" applyFont="1" applyFill="1" applyBorder="1" applyAlignment="1">
      <alignment vertical="center" wrapText="1"/>
    </xf>
    <xf numFmtId="0" fontId="1" fillId="4" borderId="46" xfId="0" applyFont="1" applyFill="1" applyBorder="1" applyAlignment="1">
      <alignment vertical="center" wrapText="1"/>
    </xf>
    <xf numFmtId="0" fontId="1" fillId="3" borderId="1"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1" fontId="1" fillId="4" borderId="1" xfId="0" applyNumberFormat="1" applyFont="1" applyFill="1" applyBorder="1" applyAlignment="1">
      <alignment horizontal="center"/>
    </xf>
    <xf numFmtId="0" fontId="4" fillId="4" borderId="0" xfId="0" applyFont="1" applyFill="1" applyAlignment="1">
      <alignment horizontal="left" vertical="top" wrapText="1"/>
    </xf>
    <xf numFmtId="1" fontId="1" fillId="4" borderId="1" xfId="0" applyNumberFormat="1" applyFont="1" applyFill="1" applyBorder="1" applyAlignment="1">
      <alignment horizontal="center"/>
    </xf>
    <xf numFmtId="0" fontId="1" fillId="5" borderId="1" xfId="0" applyFont="1" applyFill="1" applyBorder="1" applyAlignment="1">
      <alignment horizontal="center"/>
    </xf>
    <xf numFmtId="1" fontId="1" fillId="3" borderId="1" xfId="0" applyNumberFormat="1" applyFont="1" applyFill="1" applyBorder="1" applyAlignment="1">
      <alignment horizontal="center"/>
    </xf>
    <xf numFmtId="0" fontId="1" fillId="4" borderId="0" xfId="0" applyFont="1" applyFill="1" applyAlignment="1">
      <alignment horizontal="center"/>
    </xf>
    <xf numFmtId="0" fontId="1" fillId="4" borderId="33" xfId="0" applyFont="1" applyFill="1" applyBorder="1" applyAlignment="1">
      <alignment horizontal="center" vertical="center"/>
    </xf>
    <xf numFmtId="0" fontId="1" fillId="4" borderId="34" xfId="0" applyFont="1" applyFill="1" applyBorder="1" applyAlignment="1">
      <alignment horizontal="center"/>
    </xf>
    <xf numFmtId="0" fontId="1" fillId="4" borderId="35" xfId="0" applyFont="1" applyFill="1" applyBorder="1" applyAlignment="1">
      <alignment horizontal="center"/>
    </xf>
    <xf numFmtId="0" fontId="1" fillId="4" borderId="36" xfId="0" applyFont="1" applyFill="1" applyBorder="1" applyAlignment="1">
      <alignment horizontal="center" vertical="center"/>
    </xf>
    <xf numFmtId="0" fontId="1" fillId="4" borderId="37" xfId="0" applyFont="1" applyFill="1" applyBorder="1" applyAlignment="1">
      <alignment horizontal="center"/>
    </xf>
    <xf numFmtId="0" fontId="1" fillId="4" borderId="38" xfId="0" applyFont="1" applyFill="1" applyBorder="1" applyAlignment="1">
      <alignment horizontal="center"/>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48" xfId="0" applyFont="1" applyFill="1" applyBorder="1" applyAlignment="1">
      <alignment horizontal="center" vertical="center"/>
    </xf>
    <xf numFmtId="1" fontId="1" fillId="5" borderId="50" xfId="0" applyNumberFormat="1" applyFont="1" applyFill="1" applyBorder="1" applyAlignment="1">
      <alignment horizontal="center" vertical="center"/>
    </xf>
    <xf numFmtId="1" fontId="1" fillId="5" borderId="1" xfId="0" applyNumberFormat="1" applyFont="1" applyFill="1" applyBorder="1" applyAlignment="1">
      <alignment horizontal="center" vertical="center"/>
    </xf>
    <xf numFmtId="0" fontId="1" fillId="3" borderId="1" xfId="0" applyFont="1" applyFill="1" applyBorder="1" applyAlignment="1">
      <alignment horizontal="center"/>
    </xf>
    <xf numFmtId="164" fontId="1" fillId="3" borderId="1" xfId="0" applyNumberFormat="1" applyFont="1" applyFill="1" applyBorder="1" applyAlignment="1">
      <alignment horizontal="center" vertical="center" wrapText="1"/>
    </xf>
    <xf numFmtId="0" fontId="3" fillId="4" borderId="5" xfId="0" applyFont="1" applyFill="1" applyBorder="1" applyAlignment="1">
      <alignment horizontal="center"/>
    </xf>
    <xf numFmtId="164" fontId="1" fillId="3" borderId="1" xfId="0" applyNumberFormat="1" applyFont="1" applyFill="1" applyBorder="1" applyAlignment="1">
      <alignment horizontal="center"/>
    </xf>
    <xf numFmtId="164" fontId="1" fillId="5" borderId="1" xfId="0" applyNumberFormat="1" applyFont="1" applyFill="1" applyBorder="1" applyAlignment="1">
      <alignment horizontal="center"/>
    </xf>
    <xf numFmtId="1" fontId="1" fillId="5" borderId="2" xfId="0" applyNumberFormat="1" applyFont="1" applyFill="1" applyBorder="1" applyAlignment="1">
      <alignment horizontal="center" vertical="center"/>
    </xf>
    <xf numFmtId="1" fontId="1" fillId="5" borderId="8" xfId="0" applyNumberFormat="1" applyFont="1" applyFill="1" applyBorder="1" applyAlignment="1">
      <alignment horizontal="center" vertical="center"/>
    </xf>
    <xf numFmtId="1" fontId="1" fillId="4" borderId="5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3" fontId="1" fillId="3" borderId="1" xfId="0" applyNumberFormat="1" applyFont="1" applyFill="1" applyBorder="1" applyAlignment="1">
      <alignment horizontal="center"/>
    </xf>
    <xf numFmtId="1" fontId="1" fillId="4" borderId="39"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0" fontId="1" fillId="5" borderId="0" xfId="0" applyFont="1" applyFill="1" applyAlignment="1">
      <alignment horizontal="right" vertical="center"/>
    </xf>
    <xf numFmtId="1" fontId="1" fillId="0" borderId="0" xfId="0" applyNumberFormat="1" applyFont="1"/>
    <xf numFmtId="0" fontId="3" fillId="4" borderId="1" xfId="0" applyFont="1" applyFill="1" applyBorder="1" applyAlignment="1">
      <alignment vertical="center"/>
    </xf>
    <xf numFmtId="0" fontId="3" fillId="4" borderId="5" xfId="0" applyFont="1" applyFill="1" applyBorder="1" applyAlignment="1">
      <alignment vertical="center"/>
    </xf>
    <xf numFmtId="1" fontId="1" fillId="9" borderId="1" xfId="0" applyNumberFormat="1" applyFont="1" applyFill="1" applyBorder="1" applyAlignment="1">
      <alignment horizontal="center"/>
    </xf>
    <xf numFmtId="0" fontId="4" fillId="5" borderId="0" xfId="0" applyFont="1" applyFill="1" applyBorder="1" applyAlignment="1">
      <alignment horizontal="left" vertical="top" wrapText="1"/>
    </xf>
    <xf numFmtId="0" fontId="4" fillId="4" borderId="0" xfId="0" applyFont="1" applyFill="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lignment horizontal="left" vertical="top" wrapText="1"/>
    </xf>
    <xf numFmtId="0" fontId="3" fillId="4" borderId="1" xfId="0" applyFont="1" applyFill="1" applyBorder="1" applyAlignment="1">
      <alignment horizontal="center"/>
    </xf>
    <xf numFmtId="0" fontId="8" fillId="6" borderId="21" xfId="0" applyFont="1" applyFill="1" applyBorder="1" applyAlignment="1">
      <alignment horizontal="left" vertical="center"/>
    </xf>
    <xf numFmtId="0" fontId="3" fillId="4" borderId="1" xfId="0" applyFont="1" applyFill="1" applyBorder="1" applyAlignment="1">
      <alignment horizontal="left" vertical="center"/>
    </xf>
    <xf numFmtId="0" fontId="11" fillId="4" borderId="0" xfId="0" applyFont="1" applyFill="1" applyAlignment="1">
      <alignment vertical="top" wrapText="1"/>
    </xf>
    <xf numFmtId="0" fontId="0" fillId="10" borderId="0" xfId="0" applyFill="1"/>
    <xf numFmtId="0" fontId="4" fillId="7" borderId="0" xfId="0" applyFont="1" applyFill="1"/>
    <xf numFmtId="0" fontId="3" fillId="4" borderId="1" xfId="0" applyFont="1" applyFill="1" applyBorder="1"/>
    <xf numFmtId="0" fontId="1" fillId="4" borderId="4" xfId="0" applyFont="1" applyFill="1" applyBorder="1"/>
    <xf numFmtId="9" fontId="1" fillId="5" borderId="1" xfId="2" applyFont="1" applyFill="1" applyBorder="1" applyAlignment="1">
      <alignment horizontal="center"/>
    </xf>
    <xf numFmtId="0" fontId="3" fillId="4" borderId="20" xfId="0" applyFont="1" applyFill="1" applyBorder="1"/>
    <xf numFmtId="0" fontId="3" fillId="4" borderId="12" xfId="0" applyFont="1" applyFill="1" applyBorder="1"/>
    <xf numFmtId="0" fontId="3" fillId="4" borderId="13" xfId="0" applyFont="1" applyFill="1" applyBorder="1" applyAlignment="1">
      <alignment horizontal="center"/>
    </xf>
    <xf numFmtId="0" fontId="1" fillId="4" borderId="1" xfId="0" applyFont="1" applyFill="1" applyBorder="1" applyAlignment="1">
      <alignment horizontal="left"/>
    </xf>
    <xf numFmtId="0" fontId="3" fillId="4" borderId="3" xfId="0" applyFont="1" applyFill="1" applyBorder="1" applyAlignment="1">
      <alignment horizontal="center"/>
    </xf>
    <xf numFmtId="0" fontId="1" fillId="4" borderId="3" xfId="0" applyFont="1" applyFill="1" applyBorder="1"/>
    <xf numFmtId="0" fontId="1" fillId="4" borderId="6" xfId="0" applyFont="1" applyFill="1" applyBorder="1"/>
    <xf numFmtId="0" fontId="3" fillId="4" borderId="2" xfId="0" applyFont="1" applyFill="1" applyBorder="1"/>
    <xf numFmtId="0" fontId="1" fillId="4" borderId="0" xfId="0" applyFont="1" applyFill="1" applyBorder="1" applyAlignment="1"/>
    <xf numFmtId="0" fontId="1" fillId="0" borderId="0" xfId="0" applyFont="1" applyFill="1"/>
    <xf numFmtId="0" fontId="1" fillId="5" borderId="5" xfId="0" applyFont="1" applyFill="1" applyBorder="1" applyAlignment="1">
      <alignment horizontal="center"/>
    </xf>
    <xf numFmtId="0" fontId="1" fillId="5" borderId="8" xfId="0" applyFont="1" applyFill="1" applyBorder="1" applyAlignment="1">
      <alignment horizontal="center"/>
    </xf>
    <xf numFmtId="0" fontId="2" fillId="0" borderId="0" xfId="0" applyFont="1" applyFill="1"/>
    <xf numFmtId="9" fontId="1" fillId="4" borderId="0" xfId="0" applyNumberFormat="1" applyFont="1" applyFill="1" applyAlignment="1">
      <alignment horizontal="right"/>
    </xf>
    <xf numFmtId="0" fontId="3" fillId="4" borderId="3" xfId="0" applyFont="1" applyFill="1" applyBorder="1" applyAlignment="1">
      <alignment horizontal="center" wrapText="1"/>
    </xf>
    <xf numFmtId="9" fontId="1" fillId="5" borderId="3" xfId="2" applyFont="1" applyFill="1" applyBorder="1" applyAlignment="1">
      <alignment horizontal="center"/>
    </xf>
    <xf numFmtId="0" fontId="3" fillId="4" borderId="63" xfId="0" applyFont="1" applyFill="1" applyBorder="1" applyAlignment="1">
      <alignment horizontal="center" vertical="center"/>
    </xf>
    <xf numFmtId="9" fontId="1" fillId="5" borderId="63" xfId="2" applyFont="1" applyFill="1" applyBorder="1" applyAlignment="1">
      <alignment horizontal="center"/>
    </xf>
    <xf numFmtId="0" fontId="3" fillId="4" borderId="1" xfId="0" applyFont="1" applyFill="1" applyBorder="1" applyAlignment="1">
      <alignment vertical="center" wrapText="1"/>
    </xf>
    <xf numFmtId="0" fontId="3" fillId="4" borderId="0" xfId="0" applyFont="1" applyFill="1" applyAlignment="1">
      <alignment horizontal="left" vertical="top"/>
    </xf>
    <xf numFmtId="3" fontId="1" fillId="5" borderId="1" xfId="0" applyNumberFormat="1" applyFont="1" applyFill="1" applyBorder="1" applyAlignment="1">
      <alignment horizontal="center"/>
    </xf>
    <xf numFmtId="3" fontId="1" fillId="5" borderId="4" xfId="0" applyNumberFormat="1" applyFont="1" applyFill="1" applyBorder="1" applyAlignment="1">
      <alignment horizontal="center"/>
    </xf>
    <xf numFmtId="0" fontId="1" fillId="4" borderId="16" xfId="0" applyFont="1" applyFill="1" applyBorder="1" applyAlignment="1">
      <alignment vertical="center"/>
    </xf>
    <xf numFmtId="0" fontId="3" fillId="4" borderId="42" xfId="0" applyFont="1" applyFill="1" applyBorder="1"/>
    <xf numFmtId="1" fontId="1" fillId="5" borderId="8" xfId="0" applyNumberFormat="1" applyFont="1" applyFill="1" applyBorder="1" applyAlignment="1">
      <alignment horizontal="center"/>
    </xf>
    <xf numFmtId="0" fontId="5" fillId="4" borderId="1" xfId="0" applyFont="1" applyFill="1" applyBorder="1" applyAlignment="1">
      <alignment horizontal="center" vertical="center" wrapText="1"/>
    </xf>
    <xf numFmtId="0" fontId="3" fillId="4" borderId="0" xfId="0" applyFont="1" applyFill="1" applyAlignment="1">
      <alignment horizontal="right"/>
    </xf>
    <xf numFmtId="1" fontId="3" fillId="4" borderId="1" xfId="0" applyNumberFormat="1" applyFont="1" applyFill="1" applyBorder="1" applyAlignment="1">
      <alignment horizontal="center"/>
    </xf>
    <xf numFmtId="0" fontId="18" fillId="0" borderId="0" xfId="0" applyFont="1"/>
    <xf numFmtId="0" fontId="1" fillId="5" borderId="8" xfId="0" quotePrefix="1" applyFont="1" applyFill="1" applyBorder="1" applyAlignment="1">
      <alignment horizontal="center"/>
    </xf>
    <xf numFmtId="0" fontId="14" fillId="5" borderId="0" xfId="0" applyFont="1" applyFill="1" applyBorder="1"/>
    <xf numFmtId="0" fontId="19" fillId="5" borderId="0" xfId="0" applyFont="1" applyFill="1" applyBorder="1" applyAlignment="1">
      <alignment vertical="top" wrapText="1"/>
    </xf>
    <xf numFmtId="0" fontId="19" fillId="5" borderId="0" xfId="0" applyFont="1" applyFill="1" applyBorder="1" applyAlignment="1">
      <alignment horizontal="left" vertical="top"/>
    </xf>
    <xf numFmtId="0" fontId="19" fillId="5" borderId="0" xfId="0" applyFont="1" applyFill="1" applyBorder="1" applyAlignment="1">
      <alignment horizontal="left" vertical="top" wrapText="1"/>
    </xf>
    <xf numFmtId="0" fontId="6" fillId="4" borderId="0" xfId="0" applyFont="1" applyFill="1" applyAlignment="1">
      <alignment horizontal="left" vertical="top"/>
    </xf>
    <xf numFmtId="0" fontId="1" fillId="4" borderId="0" xfId="0" applyFont="1" applyFill="1" applyBorder="1" applyAlignment="1">
      <alignment horizontal="center" vertical="center"/>
    </xf>
    <xf numFmtId="2" fontId="1" fillId="0" borderId="0" xfId="0" applyNumberFormat="1" applyFont="1"/>
    <xf numFmtId="9" fontId="14" fillId="5" borderId="63" xfId="2" applyFont="1" applyFill="1" applyBorder="1" applyAlignment="1">
      <alignment horizontal="center"/>
    </xf>
    <xf numFmtId="9" fontId="14" fillId="5" borderId="3" xfId="2" applyFont="1" applyFill="1" applyBorder="1" applyAlignment="1">
      <alignment horizontal="center"/>
    </xf>
    <xf numFmtId="0" fontId="3" fillId="4" borderId="2" xfId="0" applyFont="1" applyFill="1" applyBorder="1" applyAlignment="1">
      <alignment horizontal="center"/>
    </xf>
    <xf numFmtId="0" fontId="2" fillId="7" borderId="0" xfId="0" applyFont="1" applyFill="1"/>
    <xf numFmtId="0" fontId="2" fillId="4" borderId="26" xfId="0" applyFont="1" applyFill="1" applyBorder="1" applyAlignment="1">
      <alignment vertical="center"/>
    </xf>
    <xf numFmtId="0" fontId="2" fillId="4" borderId="26" xfId="0" applyFont="1" applyFill="1" applyBorder="1"/>
    <xf numFmtId="0" fontId="3" fillId="4" borderId="3"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1" fillId="3" borderId="1" xfId="0" applyFont="1" applyFill="1" applyBorder="1" applyAlignment="1">
      <alignment horizontal="center" vertical="center"/>
    </xf>
    <xf numFmtId="0" fontId="21" fillId="4" borderId="0" xfId="0" applyFont="1" applyFill="1" applyAlignment="1">
      <alignment horizontal="center" vertical="top" wrapText="1"/>
    </xf>
    <xf numFmtId="0" fontId="23" fillId="4" borderId="0" xfId="0" applyFont="1" applyFill="1" applyAlignment="1">
      <alignment horizontal="center" vertical="top"/>
    </xf>
    <xf numFmtId="0" fontId="1" fillId="7" borderId="0" xfId="0" applyFont="1" applyFill="1" applyAlignment="1">
      <alignment horizontal="left"/>
    </xf>
    <xf numFmtId="0" fontId="23" fillId="5" borderId="0" xfId="0" applyFont="1" applyFill="1" applyBorder="1" applyAlignment="1">
      <alignment horizontal="left" vertical="center" wrapText="1"/>
    </xf>
    <xf numFmtId="0" fontId="20" fillId="5" borderId="0" xfId="0" applyFont="1" applyFill="1" applyBorder="1"/>
    <xf numFmtId="0" fontId="23" fillId="5" borderId="0"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0" xfId="0" applyFont="1" applyFill="1" applyBorder="1" applyAlignment="1">
      <alignment horizontal="left" vertical="top"/>
    </xf>
    <xf numFmtId="0" fontId="3" fillId="4" borderId="40" xfId="0" applyFont="1" applyFill="1" applyBorder="1"/>
    <xf numFmtId="0" fontId="3" fillId="4" borderId="10" xfId="0" applyFont="1" applyFill="1" applyBorder="1"/>
    <xf numFmtId="0" fontId="3" fillId="4" borderId="54" xfId="0" applyFont="1" applyFill="1" applyBorder="1"/>
    <xf numFmtId="0" fontId="3" fillId="4" borderId="9" xfId="0" applyFont="1" applyFill="1" applyBorder="1"/>
    <xf numFmtId="0" fontId="3" fillId="4" borderId="41" xfId="0" applyFont="1" applyFill="1" applyBorder="1"/>
    <xf numFmtId="0" fontId="4" fillId="5" borderId="0" xfId="0" applyFont="1" applyFill="1" applyAlignment="1">
      <alignment horizontal="left" vertical="top" wrapText="1"/>
    </xf>
    <xf numFmtId="0" fontId="19" fillId="4" borderId="0" xfId="0" applyFont="1" applyFill="1" applyAlignment="1">
      <alignment horizontal="left" vertical="top" wrapText="1"/>
    </xf>
    <xf numFmtId="0" fontId="3" fillId="4" borderId="1" xfId="0" applyFont="1" applyFill="1" applyBorder="1" applyAlignment="1">
      <alignment horizontal="left" vertical="center"/>
    </xf>
    <xf numFmtId="0" fontId="1" fillId="3" borderId="1" xfId="0" applyFont="1" applyFill="1" applyBorder="1" applyAlignment="1">
      <alignment horizontal="center" vertical="center"/>
    </xf>
    <xf numFmtId="0" fontId="1" fillId="4" borderId="64" xfId="0" applyFont="1" applyFill="1" applyBorder="1" applyAlignment="1">
      <alignment vertical="center"/>
    </xf>
    <xf numFmtId="0" fontId="17" fillId="0" borderId="0" xfId="0" applyFont="1"/>
    <xf numFmtId="0" fontId="17" fillId="4" borderId="1" xfId="0" applyFont="1" applyFill="1" applyBorder="1"/>
    <xf numFmtId="0" fontId="17" fillId="4" borderId="1" xfId="0" applyFont="1" applyFill="1" applyBorder="1" applyAlignment="1">
      <alignment horizontal="left"/>
    </xf>
    <xf numFmtId="0" fontId="5" fillId="4" borderId="1" xfId="0" applyFont="1" applyFill="1" applyBorder="1" applyAlignment="1">
      <alignment horizontal="center" wrapText="1"/>
    </xf>
    <xf numFmtId="0" fontId="24" fillId="4" borderId="1" xfId="0" applyFont="1" applyFill="1" applyBorder="1"/>
    <xf numFmtId="0" fontId="22" fillId="5" borderId="0" xfId="0" applyFont="1" applyFill="1" applyBorder="1" applyAlignment="1">
      <alignment vertical="top"/>
    </xf>
    <xf numFmtId="0" fontId="22" fillId="5" borderId="0" xfId="0" applyFont="1" applyFill="1" applyBorder="1" applyAlignment="1">
      <alignment horizontal="left" vertical="center" wrapText="1"/>
    </xf>
    <xf numFmtId="3" fontId="3" fillId="4" borderId="1" xfId="0" applyNumberFormat="1" applyFont="1" applyFill="1" applyBorder="1" applyAlignment="1">
      <alignment horizontal="center"/>
    </xf>
    <xf numFmtId="0" fontId="8" fillId="3" borderId="28" xfId="0" applyFont="1" applyFill="1" applyBorder="1" applyAlignment="1">
      <alignment horizontal="left" vertical="center"/>
    </xf>
    <xf numFmtId="0" fontId="8" fillId="10" borderId="0" xfId="0" applyFont="1" applyFill="1" applyAlignment="1">
      <alignment vertical="center"/>
    </xf>
    <xf numFmtId="0" fontId="8" fillId="10" borderId="21" xfId="0" applyFont="1" applyFill="1" applyBorder="1" applyAlignment="1">
      <alignment vertical="center"/>
    </xf>
    <xf numFmtId="0" fontId="8" fillId="3" borderId="21" xfId="0" applyFont="1" applyFill="1" applyBorder="1" applyAlignment="1">
      <alignment horizontal="left" vertical="center"/>
    </xf>
    <xf numFmtId="0" fontId="0" fillId="4" borderId="0" xfId="0" applyFill="1"/>
    <xf numFmtId="0" fontId="12" fillId="4" borderId="0" xfId="0" applyFont="1" applyFill="1"/>
    <xf numFmtId="0" fontId="0" fillId="4" borderId="66" xfId="0" applyFill="1" applyBorder="1"/>
    <xf numFmtId="0" fontId="0" fillId="4" borderId="21" xfId="0" applyFill="1" applyBorder="1"/>
    <xf numFmtId="0" fontId="0" fillId="4" borderId="67" xfId="0" applyFill="1" applyBorder="1"/>
    <xf numFmtId="0" fontId="1" fillId="4" borderId="68" xfId="0" applyFont="1" applyFill="1" applyBorder="1"/>
    <xf numFmtId="0" fontId="1" fillId="4" borderId="69" xfId="0" applyFont="1" applyFill="1" applyBorder="1" applyAlignment="1">
      <alignment horizontal="left"/>
    </xf>
    <xf numFmtId="0" fontId="1" fillId="4" borderId="69" xfId="0" applyFont="1" applyFill="1" applyBorder="1"/>
    <xf numFmtId="0" fontId="0" fillId="4" borderId="69" xfId="0" applyFill="1" applyBorder="1"/>
    <xf numFmtId="1" fontId="1" fillId="4" borderId="69" xfId="0" applyNumberFormat="1" applyFont="1" applyFill="1" applyBorder="1"/>
    <xf numFmtId="0" fontId="3" fillId="4" borderId="0" xfId="0" applyFont="1" applyFill="1" applyAlignment="1">
      <alignment horizontal="center" vertical="center"/>
    </xf>
    <xf numFmtId="0" fontId="0" fillId="4" borderId="69" xfId="0" applyFill="1" applyBorder="1" applyAlignment="1">
      <alignment horizontal="center"/>
    </xf>
    <xf numFmtId="0" fontId="0" fillId="4" borderId="69" xfId="0" quotePrefix="1" applyFill="1" applyBorder="1" applyAlignment="1">
      <alignment horizontal="center"/>
    </xf>
    <xf numFmtId="9" fontId="0" fillId="4" borderId="69" xfId="2" applyFont="1" applyFill="1" applyBorder="1" applyAlignment="1">
      <alignment horizontal="left"/>
    </xf>
    <xf numFmtId="0" fontId="0" fillId="4" borderId="66" xfId="0" applyFill="1" applyBorder="1" applyAlignment="1">
      <alignment horizontal="left"/>
    </xf>
    <xf numFmtId="0" fontId="15" fillId="4" borderId="6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3" fillId="4" borderId="0" xfId="0" applyFont="1" applyFill="1" applyBorder="1" applyAlignment="1">
      <alignment horizontal="right"/>
    </xf>
    <xf numFmtId="0" fontId="1" fillId="7" borderId="0" xfId="0" applyFont="1" applyFill="1" applyAlignment="1">
      <alignment horizontal="center"/>
    </xf>
    <xf numFmtId="0" fontId="3" fillId="8" borderId="70" xfId="0" applyFont="1" applyFill="1" applyBorder="1"/>
    <xf numFmtId="0" fontId="1" fillId="8" borderId="70" xfId="0" applyFont="1" applyFill="1" applyBorder="1"/>
    <xf numFmtId="0" fontId="0" fillId="4" borderId="69" xfId="0" applyFill="1" applyBorder="1" applyAlignment="1">
      <alignment horizontal="left"/>
    </xf>
    <xf numFmtId="0" fontId="8" fillId="6" borderId="0" xfId="0" applyFont="1" applyFill="1" applyAlignment="1">
      <alignment vertical="center"/>
    </xf>
    <xf numFmtId="0" fontId="8" fillId="6" borderId="28" xfId="0" applyFont="1" applyFill="1" applyBorder="1" applyAlignment="1">
      <alignment horizontal="left" vertical="center"/>
    </xf>
    <xf numFmtId="0" fontId="1" fillId="6" borderId="28" xfId="0" applyFont="1" applyFill="1" applyBorder="1"/>
    <xf numFmtId="0" fontId="1" fillId="8" borderId="71" xfId="0" applyFont="1" applyFill="1" applyBorder="1"/>
    <xf numFmtId="0" fontId="1" fillId="8" borderId="72" xfId="0" applyFont="1" applyFill="1" applyBorder="1"/>
    <xf numFmtId="0" fontId="4" fillId="8" borderId="72" xfId="0" applyFont="1" applyFill="1" applyBorder="1" applyAlignment="1">
      <alignment vertical="top" wrapText="1"/>
    </xf>
    <xf numFmtId="0" fontId="12" fillId="4" borderId="0" xfId="0" applyFont="1" applyFill="1" applyAlignment="1">
      <alignment vertical="top" wrapText="1"/>
    </xf>
    <xf numFmtId="0" fontId="12" fillId="4" borderId="0" xfId="0" applyFont="1" applyFill="1" applyAlignment="1">
      <alignment wrapText="1"/>
    </xf>
    <xf numFmtId="0" fontId="1" fillId="5" borderId="0" xfId="0" applyFont="1" applyFill="1" applyAlignment="1">
      <alignment horizontal="right" vertical="center" wrapText="1"/>
    </xf>
    <xf numFmtId="0" fontId="1" fillId="5" borderId="0" xfId="0" applyFont="1" applyFill="1" applyBorder="1" applyAlignment="1">
      <alignment horizontal="right" vertical="center" wrapText="1"/>
    </xf>
    <xf numFmtId="0" fontId="4" fillId="4" borderId="0" xfId="0" applyFont="1" applyFill="1" applyAlignment="1">
      <alignment horizontal="left" vertical="top" wrapText="1"/>
    </xf>
    <xf numFmtId="0" fontId="19" fillId="4" borderId="0" xfId="0" applyFont="1" applyFill="1" applyAlignment="1">
      <alignment horizontal="left" vertical="top" wrapText="1"/>
    </xf>
    <xf numFmtId="0" fontId="4" fillId="4" borderId="0" xfId="0" applyFont="1" applyFill="1" applyAlignment="1">
      <alignment horizontal="left" vertical="top"/>
    </xf>
    <xf numFmtId="1" fontId="1" fillId="4" borderId="1" xfId="0" applyNumberFormat="1" applyFont="1" applyFill="1" applyBorder="1" applyAlignment="1">
      <alignment horizontal="center"/>
    </xf>
    <xf numFmtId="0" fontId="4" fillId="5" borderId="0" xfId="0" applyFont="1" applyFill="1" applyAlignment="1">
      <alignment horizontal="left" vertical="top" wrapText="1"/>
    </xf>
    <xf numFmtId="1" fontId="1" fillId="3" borderId="5" xfId="0" applyNumberFormat="1" applyFont="1" applyFill="1" applyBorder="1" applyAlignment="1">
      <alignment horizontal="center"/>
    </xf>
    <xf numFmtId="1" fontId="1" fillId="3" borderId="8" xfId="0" applyNumberFormat="1" applyFont="1" applyFill="1" applyBorder="1" applyAlignment="1">
      <alignment horizontal="center"/>
    </xf>
    <xf numFmtId="3" fontId="0" fillId="4" borderId="69" xfId="0" applyNumberFormat="1" applyFill="1" applyBorder="1" applyAlignment="1">
      <alignment horizontal="right"/>
    </xf>
    <xf numFmtId="0" fontId="12" fillId="4" borderId="0" xfId="0" applyFont="1" applyFill="1" applyAlignment="1">
      <alignment horizontal="right"/>
    </xf>
    <xf numFmtId="3" fontId="0" fillId="4" borderId="69" xfId="0" applyNumberFormat="1" applyFill="1" applyBorder="1"/>
    <xf numFmtId="0" fontId="3" fillId="4" borderId="69" xfId="0" applyFont="1" applyFill="1" applyBorder="1"/>
    <xf numFmtId="3" fontId="12" fillId="4" borderId="69" xfId="0" applyNumberFormat="1" applyFont="1" applyFill="1" applyBorder="1" applyAlignment="1">
      <alignment horizontal="right"/>
    </xf>
    <xf numFmtId="3" fontId="12" fillId="4" borderId="69" xfId="0" applyNumberFormat="1" applyFont="1" applyFill="1" applyBorder="1" applyAlignment="1">
      <alignment horizontal="right"/>
    </xf>
    <xf numFmtId="0" fontId="12" fillId="4" borderId="69" xfId="0" applyFont="1" applyFill="1" applyBorder="1"/>
    <xf numFmtId="9" fontId="14" fillId="5" borderId="1" xfId="0" applyNumberFormat="1" applyFont="1" applyFill="1" applyBorder="1" applyAlignment="1">
      <alignment horizontal="center" vertical="center"/>
    </xf>
    <xf numFmtId="1" fontId="1" fillId="4" borderId="30" xfId="0" applyNumberFormat="1" applyFont="1" applyFill="1" applyBorder="1" applyAlignment="1">
      <alignment horizontal="center" vertical="center"/>
    </xf>
    <xf numFmtId="1" fontId="1" fillId="4" borderId="31" xfId="0" applyNumberFormat="1" applyFont="1" applyFill="1" applyBorder="1" applyAlignment="1">
      <alignment horizontal="center" vertical="center"/>
    </xf>
    <xf numFmtId="0" fontId="14" fillId="4" borderId="2" xfId="0" applyFont="1" applyFill="1" applyBorder="1" applyAlignment="1">
      <alignment vertical="center"/>
    </xf>
    <xf numFmtId="1" fontId="14" fillId="3" borderId="3" xfId="0" applyNumberFormat="1" applyFont="1" applyFill="1" applyBorder="1" applyAlignment="1">
      <alignment horizontal="center" vertical="center"/>
    </xf>
    <xf numFmtId="0" fontId="14" fillId="4" borderId="2" xfId="0" applyFont="1" applyFill="1" applyBorder="1" applyAlignment="1">
      <alignment vertical="center" wrapText="1"/>
    </xf>
    <xf numFmtId="9" fontId="1" fillId="5" borderId="3" xfId="0" applyNumberFormat="1" applyFont="1" applyFill="1" applyBorder="1" applyAlignment="1">
      <alignment horizontal="center" vertical="center"/>
    </xf>
    <xf numFmtId="9" fontId="1" fillId="5" borderId="74" xfId="0" applyNumberFormat="1" applyFont="1" applyFill="1" applyBorder="1" applyAlignment="1">
      <alignment horizontal="center" vertical="center"/>
    </xf>
    <xf numFmtId="9" fontId="1" fillId="5" borderId="63" xfId="0" applyNumberFormat="1" applyFont="1" applyFill="1" applyBorder="1" applyAlignment="1">
      <alignment horizontal="center" vertical="center"/>
    </xf>
    <xf numFmtId="0" fontId="3" fillId="4" borderId="40" xfId="0" applyFont="1" applyFill="1" applyBorder="1" applyAlignment="1">
      <alignment horizontal="center"/>
    </xf>
    <xf numFmtId="9" fontId="1" fillId="5" borderId="2" xfId="0" applyNumberFormat="1" applyFont="1" applyFill="1" applyBorder="1" applyAlignment="1">
      <alignment horizontal="center" vertical="center"/>
    </xf>
    <xf numFmtId="9" fontId="14" fillId="5" borderId="2" xfId="0" applyNumberFormat="1" applyFont="1" applyFill="1" applyBorder="1" applyAlignment="1">
      <alignment horizontal="center" vertical="center"/>
    </xf>
    <xf numFmtId="0" fontId="3" fillId="4" borderId="10" xfId="0" applyFont="1" applyFill="1" applyBorder="1" applyAlignment="1">
      <alignment horizontal="center"/>
    </xf>
    <xf numFmtId="9" fontId="14" fillId="5" borderId="3" xfId="0" applyNumberFormat="1" applyFont="1" applyFill="1" applyBorder="1" applyAlignment="1">
      <alignment horizontal="center" vertical="center"/>
    </xf>
    <xf numFmtId="0" fontId="3" fillId="4" borderId="76" xfId="0" applyFont="1" applyFill="1" applyBorder="1" applyAlignment="1">
      <alignment horizontal="center"/>
    </xf>
    <xf numFmtId="9" fontId="1" fillId="5" borderId="75" xfId="0" applyNumberFormat="1" applyFont="1" applyFill="1" applyBorder="1" applyAlignment="1">
      <alignment horizontal="center" vertical="center"/>
    </xf>
    <xf numFmtId="9" fontId="14" fillId="5" borderId="75" xfId="0" applyNumberFormat="1" applyFont="1" applyFill="1" applyBorder="1" applyAlignment="1">
      <alignment horizontal="center" vertical="center"/>
    </xf>
    <xf numFmtId="0" fontId="15" fillId="4" borderId="40" xfId="0" applyFont="1" applyFill="1" applyBorder="1" applyAlignment="1">
      <alignment horizontal="center"/>
    </xf>
    <xf numFmtId="0" fontId="15" fillId="4" borderId="10" xfId="0" applyFont="1" applyFill="1" applyBorder="1" applyAlignment="1">
      <alignment horizontal="center"/>
    </xf>
    <xf numFmtId="0" fontId="15" fillId="4" borderId="76" xfId="0" applyFont="1" applyFill="1" applyBorder="1" applyAlignment="1">
      <alignment horizontal="center"/>
    </xf>
    <xf numFmtId="9" fontId="4" fillId="4" borderId="0" xfId="0" applyNumberFormat="1" applyFont="1" applyFill="1" applyAlignment="1">
      <alignment horizontal="left" vertical="top" wrapText="1"/>
    </xf>
    <xf numFmtId="0" fontId="3" fillId="4" borderId="75" xfId="0" applyFont="1" applyFill="1" applyBorder="1" applyAlignment="1">
      <alignment horizontal="center" vertical="center"/>
    </xf>
    <xf numFmtId="0" fontId="0" fillId="6" borderId="28" xfId="0" applyFill="1" applyBorder="1"/>
    <xf numFmtId="0" fontId="0" fillId="6" borderId="21" xfId="0" applyFill="1" applyBorder="1"/>
    <xf numFmtId="0" fontId="6" fillId="5" borderId="0" xfId="0" applyFont="1" applyFill="1"/>
    <xf numFmtId="3" fontId="1" fillId="9" borderId="1" xfId="0" applyNumberFormat="1" applyFont="1" applyFill="1" applyBorder="1" applyAlignment="1">
      <alignment horizontal="right"/>
    </xf>
    <xf numFmtId="0" fontId="7" fillId="7" borderId="0" xfId="0" applyFont="1" applyFill="1"/>
    <xf numFmtId="0" fontId="14" fillId="4" borderId="25" xfId="0" applyFont="1" applyFill="1" applyBorder="1" applyAlignment="1">
      <alignment vertical="center"/>
    </xf>
    <xf numFmtId="0" fontId="14" fillId="4" borderId="28" xfId="0" applyFont="1" applyFill="1" applyBorder="1" applyAlignment="1">
      <alignment vertical="center"/>
    </xf>
    <xf numFmtId="0" fontId="14" fillId="7" borderId="0" xfId="0" applyFont="1" applyFill="1"/>
    <xf numFmtId="0" fontId="14" fillId="4" borderId="25" xfId="0" applyFont="1" applyFill="1" applyBorder="1"/>
    <xf numFmtId="0" fontId="14" fillId="4" borderId="28" xfId="0" applyFont="1" applyFill="1" applyBorder="1"/>
    <xf numFmtId="0" fontId="7" fillId="5" borderId="0" xfId="0" applyFont="1" applyFill="1"/>
    <xf numFmtId="0" fontId="3" fillId="5" borderId="0" xfId="0" applyFont="1" applyFill="1"/>
    <xf numFmtId="9" fontId="3" fillId="11" borderId="11" xfId="0" applyNumberFormat="1" applyFont="1" applyFill="1" applyBorder="1"/>
    <xf numFmtId="0" fontId="3" fillId="7" borderId="0" xfId="0" applyFont="1" applyFill="1"/>
    <xf numFmtId="3" fontId="29" fillId="12" borderId="11" xfId="0" applyNumberFormat="1" applyFont="1" applyFill="1" applyBorder="1" applyAlignment="1">
      <alignment wrapText="1"/>
    </xf>
    <xf numFmtId="3" fontId="29" fillId="11" borderId="11" xfId="0" applyNumberFormat="1" applyFont="1" applyFill="1" applyBorder="1" applyAlignment="1">
      <alignment wrapText="1"/>
    </xf>
    <xf numFmtId="0" fontId="18" fillId="5" borderId="0" xfId="0" applyFont="1" applyFill="1"/>
    <xf numFmtId="165" fontId="12" fillId="4" borderId="69" xfId="0" applyNumberFormat="1" applyFont="1" applyFill="1" applyBorder="1" applyAlignment="1">
      <alignment horizontal="right"/>
    </xf>
    <xf numFmtId="164" fontId="12" fillId="4" borderId="69" xfId="0" applyNumberFormat="1" applyFont="1" applyFill="1" applyBorder="1"/>
    <xf numFmtId="3" fontId="1" fillId="4" borderId="69" xfId="0" applyNumberFormat="1" applyFont="1" applyFill="1" applyBorder="1" applyAlignment="1">
      <alignment horizontal="left"/>
    </xf>
    <xf numFmtId="3" fontId="1" fillId="4" borderId="69" xfId="0" applyNumberFormat="1" applyFont="1" applyFill="1" applyBorder="1"/>
    <xf numFmtId="0" fontId="0" fillId="4" borderId="0" xfId="0" applyFill="1" applyAlignment="1">
      <alignment vertical="top" wrapText="1"/>
    </xf>
    <xf numFmtId="0" fontId="0" fillId="4" borderId="0" xfId="0" applyFill="1" applyAlignment="1">
      <alignment wrapText="1"/>
    </xf>
    <xf numFmtId="0" fontId="3" fillId="4" borderId="1" xfId="0" applyFont="1" applyFill="1" applyBorder="1" applyAlignment="1">
      <alignment horizontal="left" vertical="center"/>
    </xf>
    <xf numFmtId="1" fontId="2" fillId="4" borderId="0" xfId="0" applyNumberFormat="1" applyFont="1" applyFill="1" applyBorder="1" applyAlignment="1">
      <alignment horizontal="left" vertical="center"/>
    </xf>
    <xf numFmtId="0" fontId="1" fillId="4" borderId="0" xfId="0" applyFont="1" applyFill="1" applyBorder="1" applyAlignment="1">
      <alignment horizontal="left" vertical="center"/>
    </xf>
    <xf numFmtId="1" fontId="1" fillId="5" borderId="48" xfId="0" applyNumberFormat="1" applyFont="1" applyFill="1" applyBorder="1" applyAlignment="1">
      <alignment horizontal="center" vertical="center"/>
    </xf>
    <xf numFmtId="0" fontId="19" fillId="4" borderId="0" xfId="0" applyFont="1" applyFill="1" applyAlignment="1">
      <alignment vertical="top" wrapText="1"/>
    </xf>
    <xf numFmtId="0" fontId="3" fillId="4" borderId="3" xfId="0" applyFont="1" applyFill="1" applyBorder="1" applyAlignment="1">
      <alignment horizontal="center"/>
    </xf>
    <xf numFmtId="0" fontId="3" fillId="4" borderId="3" xfId="0" applyFont="1" applyFill="1" applyBorder="1" applyAlignment="1">
      <alignment horizontal="center" vertical="center"/>
    </xf>
    <xf numFmtId="1" fontId="1" fillId="4" borderId="1" xfId="0" applyNumberFormat="1" applyFont="1" applyFill="1" applyBorder="1" applyAlignment="1">
      <alignment horizontal="center" vertical="center"/>
    </xf>
    <xf numFmtId="0" fontId="3" fillId="4" borderId="0" xfId="0" applyFont="1" applyFill="1" applyAlignment="1">
      <alignment horizontal="right" vertical="center"/>
    </xf>
    <xf numFmtId="0" fontId="15" fillId="4" borderId="0" xfId="0" applyFont="1" applyFill="1"/>
    <xf numFmtId="9" fontId="11" fillId="4" borderId="0" xfId="0" applyNumberFormat="1" applyFont="1" applyFill="1" applyAlignment="1">
      <alignment horizontal="left" vertical="top" wrapText="1"/>
    </xf>
    <xf numFmtId="0" fontId="3" fillId="4" borderId="1" xfId="0" applyFont="1" applyFill="1" applyBorder="1" applyAlignment="1">
      <alignment horizontal="center" vertical="top" wrapText="1"/>
    </xf>
    <xf numFmtId="0" fontId="2" fillId="4" borderId="54" xfId="0" applyFont="1" applyFill="1" applyBorder="1"/>
    <xf numFmtId="0" fontId="1" fillId="4" borderId="54" xfId="0" applyFont="1" applyFill="1" applyBorder="1"/>
    <xf numFmtId="9" fontId="1" fillId="3" borderId="1" xfId="2" applyFont="1" applyFill="1" applyBorder="1" applyAlignment="1">
      <alignment horizontal="center" vertical="top"/>
    </xf>
    <xf numFmtId="1" fontId="1" fillId="3" borderId="1" xfId="0" applyNumberFormat="1" applyFont="1" applyFill="1" applyBorder="1" applyAlignment="1">
      <alignment horizontal="center" vertical="top"/>
    </xf>
    <xf numFmtId="1" fontId="1" fillId="3" borderId="32" xfId="0" applyNumberFormat="1" applyFont="1" applyFill="1" applyBorder="1" applyAlignment="1">
      <alignment horizontal="center" vertical="center" wrapText="1"/>
    </xf>
    <xf numFmtId="0" fontId="3" fillId="4" borderId="63" xfId="0" applyFont="1" applyFill="1" applyBorder="1" applyAlignment="1">
      <alignment horizontal="center" vertical="center" wrapText="1"/>
    </xf>
    <xf numFmtId="9" fontId="1" fillId="3" borderId="1" xfId="0" applyNumberFormat="1" applyFont="1" applyFill="1" applyBorder="1" applyAlignment="1">
      <alignment horizontal="center"/>
    </xf>
    <xf numFmtId="0" fontId="1" fillId="4" borderId="5" xfId="0" applyFont="1" applyFill="1" applyBorder="1"/>
    <xf numFmtId="9" fontId="1" fillId="3" borderId="1" xfId="2" applyFont="1" applyFill="1" applyBorder="1" applyAlignment="1">
      <alignment horizontal="center"/>
    </xf>
    <xf numFmtId="0" fontId="31" fillId="4" borderId="0" xfId="0" applyFont="1" applyFill="1"/>
    <xf numFmtId="1" fontId="1" fillId="3" borderId="63" xfId="0" applyNumberFormat="1" applyFont="1" applyFill="1" applyBorder="1" applyAlignment="1">
      <alignment horizontal="center" vertical="center"/>
    </xf>
    <xf numFmtId="0" fontId="15" fillId="4" borderId="3" xfId="0" applyFont="1" applyFill="1" applyBorder="1" applyAlignment="1">
      <alignment horizontal="center"/>
    </xf>
    <xf numFmtId="1" fontId="14" fillId="3" borderId="63" xfId="0" applyNumberFormat="1" applyFont="1" applyFill="1" applyBorder="1" applyAlignment="1">
      <alignment horizontal="center" vertical="center"/>
    </xf>
    <xf numFmtId="0" fontId="15" fillId="4" borderId="63" xfId="0" applyFont="1" applyFill="1" applyBorder="1" applyAlignment="1">
      <alignment horizontal="center" vertical="center"/>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1" fontId="1" fillId="3" borderId="4" xfId="0" applyNumberFormat="1" applyFont="1" applyFill="1" applyBorder="1" applyAlignment="1">
      <alignment horizontal="center" vertical="center" wrapText="1"/>
    </xf>
    <xf numFmtId="0" fontId="14" fillId="3" borderId="1" xfId="0" applyFont="1" applyFill="1" applyBorder="1" applyAlignment="1">
      <alignment horizontal="center"/>
    </xf>
    <xf numFmtId="3" fontId="14" fillId="3" borderId="1" xfId="0" applyNumberFormat="1" applyFont="1" applyFill="1" applyBorder="1" applyAlignment="1">
      <alignment horizontal="center"/>
    </xf>
    <xf numFmtId="1" fontId="1" fillId="3" borderId="1" xfId="2" applyNumberFormat="1" applyFont="1" applyFill="1" applyBorder="1" applyAlignment="1">
      <alignment horizontal="center"/>
    </xf>
    <xf numFmtId="0" fontId="1" fillId="3" borderId="44" xfId="0" applyFont="1" applyFill="1" applyBorder="1" applyAlignment="1">
      <alignment horizontal="center"/>
    </xf>
    <xf numFmtId="0" fontId="1" fillId="3" borderId="42" xfId="0" applyFont="1" applyFill="1" applyBorder="1" applyAlignment="1">
      <alignment horizontal="center"/>
    </xf>
    <xf numFmtId="1" fontId="1" fillId="2" borderId="53" xfId="2" applyNumberFormat="1" applyFont="1" applyFill="1" applyBorder="1" applyAlignment="1" applyProtection="1">
      <alignment horizontal="center" vertical="center"/>
      <protection locked="0"/>
    </xf>
    <xf numFmtId="1" fontId="1" fillId="2" borderId="65" xfId="2" applyNumberFormat="1" applyFont="1" applyFill="1" applyBorder="1" applyAlignment="1" applyProtection="1">
      <alignment horizontal="center" vertical="center"/>
      <protection locked="0"/>
    </xf>
    <xf numFmtId="1" fontId="1" fillId="2" borderId="24" xfId="2"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vertical="center"/>
      <protection locked="0"/>
    </xf>
    <xf numFmtId="3" fontId="14" fillId="2" borderId="31" xfId="0" applyNumberFormat="1" applyFont="1" applyFill="1" applyBorder="1" applyAlignment="1" applyProtection="1">
      <alignment vertical="center"/>
      <protection locked="0"/>
    </xf>
    <xf numFmtId="0" fontId="14" fillId="2" borderId="31" xfId="0" applyFont="1" applyFill="1" applyBorder="1" applyProtection="1">
      <protection locked="0"/>
    </xf>
    <xf numFmtId="9" fontId="1" fillId="2" borderId="1" xfId="2" applyFont="1" applyFill="1" applyBorder="1" applyAlignment="1" applyProtection="1">
      <alignment horizontal="right" vertical="center"/>
      <protection locked="0"/>
    </xf>
    <xf numFmtId="0" fontId="1" fillId="2" borderId="53" xfId="0" applyFont="1" applyFill="1" applyBorder="1" applyAlignment="1" applyProtection="1">
      <alignment horizontal="center"/>
      <protection locked="0"/>
    </xf>
    <xf numFmtId="9" fontId="14" fillId="2" borderId="1" xfId="2" applyFont="1" applyFill="1" applyBorder="1" applyProtection="1">
      <protection locked="0"/>
    </xf>
    <xf numFmtId="0" fontId="1" fillId="4" borderId="24" xfId="0" applyFont="1" applyFill="1" applyBorder="1" applyAlignment="1">
      <alignment horizontal="center"/>
    </xf>
    <xf numFmtId="1" fontId="3" fillId="3" borderId="1" xfId="0" applyNumberFormat="1" applyFont="1" applyFill="1" applyBorder="1" applyAlignment="1">
      <alignment horizontal="center"/>
    </xf>
    <xf numFmtId="0" fontId="25" fillId="10" borderId="0" xfId="0" applyFont="1" applyFill="1"/>
    <xf numFmtId="0" fontId="25" fillId="10" borderId="73" xfId="0" applyFont="1" applyFill="1" applyBorder="1" applyAlignment="1">
      <alignment vertical="center"/>
    </xf>
    <xf numFmtId="0" fontId="25" fillId="10" borderId="0" xfId="0" applyFont="1" applyFill="1" applyAlignment="1">
      <alignment vertical="center"/>
    </xf>
    <xf numFmtId="0" fontId="25" fillId="10" borderId="21" xfId="0" applyFont="1" applyFill="1" applyBorder="1" applyAlignment="1">
      <alignment vertical="center"/>
    </xf>
    <xf numFmtId="0" fontId="34" fillId="10" borderId="0" xfId="0" applyFont="1" applyFill="1" applyAlignment="1">
      <alignment vertical="center"/>
    </xf>
    <xf numFmtId="0" fontId="7" fillId="7" borderId="0" xfId="0" applyFont="1" applyFill="1" applyAlignment="1">
      <alignment horizontal="left" wrapText="1"/>
    </xf>
    <xf numFmtId="0" fontId="14" fillId="5" borderId="1" xfId="0" applyFont="1" applyFill="1" applyBorder="1" applyAlignment="1">
      <alignment horizontal="center"/>
    </xf>
    <xf numFmtId="1" fontId="14" fillId="3" borderId="1" xfId="0" applyNumberFormat="1" applyFont="1" applyFill="1" applyBorder="1" applyAlignment="1">
      <alignment horizontal="center"/>
    </xf>
    <xf numFmtId="1" fontId="1" fillId="4" borderId="1" xfId="0" applyNumberFormat="1" applyFont="1" applyFill="1" applyBorder="1" applyAlignment="1">
      <alignment horizontal="center" vertical="center"/>
    </xf>
    <xf numFmtId="0" fontId="33" fillId="10" borderId="0" xfId="0" applyFont="1" applyFill="1" applyAlignment="1">
      <alignment horizontal="left" vertical="center" wrapText="1"/>
    </xf>
    <xf numFmtId="0" fontId="4" fillId="0" borderId="73" xfId="0" applyFont="1" applyFill="1" applyBorder="1" applyAlignment="1">
      <alignment horizontal="right"/>
    </xf>
    <xf numFmtId="0" fontId="19" fillId="7" borderId="0" xfId="0" applyFont="1" applyFill="1" applyAlignment="1">
      <alignment horizontal="left" vertical="top" wrapText="1"/>
    </xf>
    <xf numFmtId="1" fontId="1" fillId="2" borderId="2" xfId="0" applyNumberFormat="1" applyFont="1" applyFill="1" applyBorder="1" applyAlignment="1" applyProtection="1">
      <alignment horizontal="center" vertical="center" wrapText="1"/>
      <protection locked="0"/>
    </xf>
    <xf numFmtId="1" fontId="1" fillId="2" borderId="3" xfId="0" applyNumberFormat="1" applyFont="1" applyFill="1" applyBorder="1" applyAlignment="1" applyProtection="1">
      <alignment horizontal="center" vertical="center" wrapText="1"/>
      <protection locked="0"/>
    </xf>
    <xf numFmtId="0" fontId="22" fillId="5" borderId="0" xfId="0" applyFont="1" applyFill="1" applyBorder="1" applyAlignment="1">
      <alignment horizontal="left" vertical="top" wrapText="1"/>
    </xf>
    <xf numFmtId="0" fontId="4" fillId="5" borderId="0" xfId="0" applyFont="1" applyFill="1" applyAlignment="1">
      <alignment horizontal="left" vertical="top" wrapText="1"/>
    </xf>
    <xf numFmtId="0" fontId="19" fillId="5" borderId="0" xfId="0" applyFont="1" applyFill="1" applyBorder="1" applyAlignment="1">
      <alignment horizontal="left" vertical="top" wrapText="1"/>
    </xf>
    <xf numFmtId="0" fontId="14" fillId="2" borderId="40"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4" fillId="2" borderId="42" xfId="0" applyFont="1" applyFill="1" applyBorder="1" applyAlignment="1" applyProtection="1">
      <alignment horizontal="center" vertical="center" wrapText="1"/>
      <protection locked="0"/>
    </xf>
    <xf numFmtId="0" fontId="14" fillId="5" borderId="0" xfId="0" applyFont="1" applyFill="1" applyBorder="1" applyAlignment="1">
      <alignment horizontal="right" vertical="center" wrapText="1"/>
    </xf>
    <xf numFmtId="0" fontId="14" fillId="5" borderId="9" xfId="0" applyFont="1" applyFill="1" applyBorder="1" applyAlignment="1">
      <alignment horizontal="right" vertical="center" wrapText="1"/>
    </xf>
    <xf numFmtId="0" fontId="1" fillId="5" borderId="0" xfId="0" applyFont="1" applyFill="1" applyBorder="1" applyAlignment="1">
      <alignment horizontal="right" vertical="center" wrapText="1"/>
    </xf>
    <xf numFmtId="0" fontId="6" fillId="5" borderId="0" xfId="0" applyFont="1" applyFill="1" applyAlignment="1">
      <alignment horizontal="left" vertical="top" wrapText="1"/>
    </xf>
    <xf numFmtId="0" fontId="1" fillId="5" borderId="0" xfId="0" applyFont="1" applyFill="1" applyAlignment="1">
      <alignment horizontal="right" vertical="center" wrapText="1"/>
    </xf>
    <xf numFmtId="0" fontId="1" fillId="5" borderId="9" xfId="0" applyFont="1" applyFill="1" applyBorder="1" applyAlignment="1">
      <alignment horizontal="right" vertical="center" wrapText="1"/>
    </xf>
    <xf numFmtId="0" fontId="4" fillId="7" borderId="0" xfId="0" applyFont="1" applyFill="1" applyAlignment="1">
      <alignment horizontal="left" vertical="top" wrapText="1"/>
    </xf>
    <xf numFmtId="0" fontId="8" fillId="6" borderId="21" xfId="0" applyFont="1" applyFill="1" applyBorder="1" applyAlignment="1">
      <alignment horizontal="center" vertical="center"/>
    </xf>
    <xf numFmtId="1" fontId="1" fillId="2" borderId="2" xfId="0" applyNumberFormat="1" applyFont="1" applyFill="1" applyBorder="1" applyAlignment="1" applyProtection="1">
      <alignment horizontal="center" vertical="center"/>
      <protection locked="0"/>
    </xf>
    <xf numFmtId="1" fontId="1" fillId="2" borderId="3" xfId="0" applyNumberFormat="1" applyFont="1" applyFill="1" applyBorder="1" applyAlignment="1" applyProtection="1">
      <alignment horizontal="center" vertical="center"/>
      <protection locked="0"/>
    </xf>
    <xf numFmtId="0" fontId="1" fillId="4" borderId="25" xfId="0" applyFont="1" applyFill="1" applyBorder="1" applyAlignment="1">
      <alignment horizontal="left" vertical="center"/>
    </xf>
    <xf numFmtId="0" fontId="1" fillId="4" borderId="26" xfId="0" applyFont="1" applyFill="1" applyBorder="1" applyAlignment="1">
      <alignment horizontal="left" vertical="center"/>
    </xf>
    <xf numFmtId="0" fontId="7" fillId="7" borderId="0" xfId="0" applyFont="1" applyFill="1" applyAlignment="1">
      <alignment horizontal="left" wrapText="1"/>
    </xf>
    <xf numFmtId="0" fontId="4" fillId="4" borderId="0" xfId="0" applyFont="1" applyFill="1" applyAlignment="1">
      <alignment horizontal="left" vertical="top" wrapText="1"/>
    </xf>
    <xf numFmtId="1" fontId="17" fillId="4" borderId="51" xfId="2" applyNumberFormat="1" applyFont="1" applyFill="1" applyBorder="1" applyAlignment="1">
      <alignment horizontal="left" vertical="center" wrapText="1"/>
    </xf>
    <xf numFmtId="1" fontId="17" fillId="4" borderId="62" xfId="2" applyNumberFormat="1" applyFont="1" applyFill="1" applyBorder="1" applyAlignment="1">
      <alignment horizontal="left" vertical="center" wrapText="1"/>
    </xf>
    <xf numFmtId="1" fontId="17" fillId="4" borderId="6" xfId="2" applyNumberFormat="1" applyFont="1" applyFill="1" applyBorder="1" applyAlignment="1">
      <alignment horizontal="left" vertical="center" wrapText="1"/>
    </xf>
    <xf numFmtId="1" fontId="17" fillId="4" borderId="3" xfId="2" applyNumberFormat="1" applyFont="1" applyFill="1" applyBorder="1" applyAlignment="1">
      <alignment horizontal="left" vertical="center" wrapText="1"/>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58" xfId="0" applyFont="1" applyFill="1" applyBorder="1" applyAlignment="1">
      <alignment horizontal="left" vertical="center"/>
    </xf>
    <xf numFmtId="0" fontId="19" fillId="4" borderId="0" xfId="0" applyFont="1" applyFill="1" applyAlignment="1">
      <alignment horizontal="left" vertical="top" wrapText="1"/>
    </xf>
    <xf numFmtId="0" fontId="15" fillId="4" borderId="55" xfId="0" applyFont="1" applyFill="1" applyBorder="1" applyAlignment="1">
      <alignment horizontal="left" vertical="center" wrapText="1"/>
    </xf>
    <xf numFmtId="0" fontId="15" fillId="4" borderId="56" xfId="0" applyFont="1" applyFill="1" applyBorder="1" applyAlignment="1">
      <alignment horizontal="left" vertical="center" wrapText="1"/>
    </xf>
    <xf numFmtId="0" fontId="19" fillId="2" borderId="57" xfId="0" applyFont="1" applyFill="1" applyBorder="1" applyAlignment="1" applyProtection="1">
      <alignment horizontal="left" vertical="center" wrapText="1"/>
      <protection locked="0"/>
    </xf>
    <xf numFmtId="0" fontId="19" fillId="2" borderId="56" xfId="0" applyFont="1" applyFill="1" applyBorder="1" applyAlignment="1" applyProtection="1">
      <alignment horizontal="left" vertical="center" wrapText="1"/>
      <protection locked="0"/>
    </xf>
    <xf numFmtId="0" fontId="19" fillId="2" borderId="59" xfId="0" applyFont="1" applyFill="1" applyBorder="1" applyAlignment="1" applyProtection="1">
      <alignment horizontal="left" vertical="center" wrapText="1"/>
      <protection locked="0"/>
    </xf>
    <xf numFmtId="0" fontId="19" fillId="2" borderId="61" xfId="0" applyFont="1" applyFill="1" applyBorder="1" applyAlignment="1" applyProtection="1">
      <alignment horizontal="left" vertical="center" wrapText="1"/>
      <protection locked="0"/>
    </xf>
    <xf numFmtId="0" fontId="19" fillId="2" borderId="51" xfId="0" applyFont="1" applyFill="1" applyBorder="1" applyAlignment="1" applyProtection="1">
      <alignment horizontal="left" vertical="center" wrapText="1"/>
      <protection locked="0"/>
    </xf>
    <xf numFmtId="0" fontId="19" fillId="2" borderId="19" xfId="0" applyFont="1" applyFill="1" applyBorder="1" applyAlignment="1" applyProtection="1">
      <alignment horizontal="left" vertical="center" wrapText="1"/>
      <protection locked="0"/>
    </xf>
    <xf numFmtId="0" fontId="14" fillId="4" borderId="16"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14" xfId="0" applyFont="1" applyFill="1" applyBorder="1" applyAlignment="1">
      <alignment horizontal="left" vertical="center"/>
    </xf>
    <xf numFmtId="0" fontId="14" fillId="4" borderId="18" xfId="0" applyFont="1" applyFill="1" applyBorder="1" applyAlignment="1">
      <alignment horizontal="left" vertical="center"/>
    </xf>
    <xf numFmtId="0" fontId="14" fillId="4" borderId="14"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 fillId="4" borderId="55" xfId="0" applyFont="1" applyFill="1" applyBorder="1" applyAlignment="1">
      <alignment horizontal="center"/>
    </xf>
    <xf numFmtId="0" fontId="1" fillId="4" borderId="59" xfId="0" applyFont="1" applyFill="1" applyBorder="1" applyAlignment="1">
      <alignment horizontal="center"/>
    </xf>
    <xf numFmtId="0" fontId="7" fillId="7" borderId="0" xfId="0" applyFont="1" applyFill="1" applyAlignment="1">
      <alignment horizontal="left" vertical="top" wrapText="1"/>
    </xf>
    <xf numFmtId="0" fontId="1" fillId="4" borderId="22" xfId="0" applyFont="1" applyFill="1" applyBorder="1" applyAlignment="1">
      <alignment horizontal="left"/>
    </xf>
    <xf numFmtId="0" fontId="1" fillId="4" borderId="23" xfId="0" applyFont="1" applyFill="1" applyBorder="1" applyAlignment="1">
      <alignment horizontal="left"/>
    </xf>
    <xf numFmtId="0" fontId="1" fillId="4" borderId="52" xfId="0" applyFont="1" applyFill="1" applyBorder="1" applyAlignment="1">
      <alignment horizontal="left"/>
    </xf>
    <xf numFmtId="0" fontId="1" fillId="4" borderId="1" xfId="0" applyFont="1" applyFill="1" applyBorder="1" applyAlignment="1">
      <alignment horizontal="left"/>
    </xf>
    <xf numFmtId="0" fontId="1" fillId="2" borderId="27"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5" borderId="0" xfId="0" applyFont="1" applyFill="1" applyAlignment="1">
      <alignment horizontal="right" vertical="center"/>
    </xf>
    <xf numFmtId="0" fontId="1" fillId="5" borderId="9" xfId="0" applyFont="1" applyFill="1" applyBorder="1" applyAlignment="1">
      <alignment horizontal="right" vertical="center"/>
    </xf>
    <xf numFmtId="1" fontId="1" fillId="2" borderId="40" xfId="0" applyNumberFormat="1" applyFont="1" applyFill="1" applyBorder="1" applyAlignment="1" applyProtection="1">
      <alignment horizontal="center" vertical="center" wrapText="1"/>
      <protection locked="0"/>
    </xf>
    <xf numFmtId="1" fontId="1" fillId="2" borderId="10" xfId="0" applyNumberFormat="1" applyFont="1" applyFill="1" applyBorder="1" applyAlignment="1" applyProtection="1">
      <alignment horizontal="center" vertical="center" wrapText="1"/>
      <protection locked="0"/>
    </xf>
    <xf numFmtId="1" fontId="1" fillId="2" borderId="41" xfId="0" applyNumberFormat="1" applyFont="1" applyFill="1" applyBorder="1" applyAlignment="1" applyProtection="1">
      <alignment horizontal="center" vertical="center" wrapText="1"/>
      <protection locked="0"/>
    </xf>
    <xf numFmtId="1" fontId="1" fillId="2" borderId="42" xfId="0" applyNumberFormat="1" applyFont="1" applyFill="1" applyBorder="1" applyAlignment="1" applyProtection="1">
      <alignment horizontal="center" vertical="center" wrapText="1"/>
      <protection locked="0"/>
    </xf>
    <xf numFmtId="3" fontId="12" fillId="4" borderId="69" xfId="0" applyNumberFormat="1" applyFont="1" applyFill="1" applyBorder="1" applyAlignment="1">
      <alignment horizontal="right"/>
    </xf>
    <xf numFmtId="3" fontId="0" fillId="4" borderId="69" xfId="0" applyNumberFormat="1" applyFill="1" applyBorder="1" applyAlignment="1">
      <alignment horizontal="right"/>
    </xf>
    <xf numFmtId="165" fontId="12" fillId="4" borderId="69" xfId="0" applyNumberFormat="1" applyFont="1" applyFill="1" applyBorder="1" applyAlignment="1">
      <alignment horizontal="right"/>
    </xf>
    <xf numFmtId="0" fontId="12" fillId="4" borderId="66" xfId="0" applyFont="1" applyFill="1" applyBorder="1" applyAlignment="1">
      <alignment horizontal="right" vertical="center"/>
    </xf>
    <xf numFmtId="0" fontId="1" fillId="4" borderId="41" xfId="0" applyFont="1" applyFill="1" applyBorder="1" applyAlignment="1">
      <alignment horizontal="left"/>
    </xf>
    <xf numFmtId="0" fontId="1" fillId="4" borderId="42" xfId="0" applyFont="1" applyFill="1" applyBorder="1" applyAlignment="1">
      <alignment horizontal="left"/>
    </xf>
    <xf numFmtId="0" fontId="1" fillId="3" borderId="4"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5" xfId="0" applyFont="1" applyFill="1" applyBorder="1" applyAlignment="1">
      <alignment horizontal="center" vertical="center"/>
    </xf>
    <xf numFmtId="1" fontId="1" fillId="3" borderId="2" xfId="0" applyNumberFormat="1" applyFont="1" applyFill="1" applyBorder="1" applyAlignment="1">
      <alignment horizontal="left" vertical="center"/>
    </xf>
    <xf numFmtId="1" fontId="1" fillId="3" borderId="3" xfId="0" applyNumberFormat="1" applyFont="1" applyFill="1" applyBorder="1" applyAlignment="1">
      <alignment horizontal="left" vertical="center"/>
    </xf>
    <xf numFmtId="1" fontId="1" fillId="3"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xf>
    <xf numFmtId="1" fontId="1" fillId="3" borderId="25" xfId="0" applyNumberFormat="1" applyFont="1" applyFill="1" applyBorder="1" applyAlignment="1">
      <alignment horizontal="center" vertical="center" wrapText="1"/>
    </xf>
    <xf numFmtId="1" fontId="1" fillId="3" borderId="26" xfId="0" applyNumberFormat="1"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41" xfId="0" applyFont="1" applyFill="1" applyBorder="1" applyAlignment="1">
      <alignment horizontal="center"/>
    </xf>
    <xf numFmtId="0" fontId="3" fillId="4" borderId="7" xfId="0" applyFont="1" applyFill="1" applyBorder="1" applyAlignment="1">
      <alignment horizontal="center"/>
    </xf>
    <xf numFmtId="0" fontId="3" fillId="4" borderId="42" xfId="0" applyFont="1" applyFill="1" applyBorder="1" applyAlignment="1">
      <alignment horizont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15" fillId="4" borderId="5" xfId="0" applyFont="1" applyFill="1" applyBorder="1" applyAlignment="1">
      <alignment horizontal="left" vertical="center" wrapText="1"/>
    </xf>
    <xf numFmtId="0" fontId="15" fillId="4" borderId="1" xfId="0" applyFont="1" applyFill="1" applyBorder="1" applyAlignment="1">
      <alignment horizontal="left" vertical="center"/>
    </xf>
    <xf numFmtId="0" fontId="15" fillId="4" borderId="41" xfId="0" applyFont="1" applyFill="1" applyBorder="1" applyAlignment="1">
      <alignment horizontal="center"/>
    </xf>
    <xf numFmtId="0" fontId="15" fillId="4" borderId="7" xfId="0" applyFont="1" applyFill="1" applyBorder="1" applyAlignment="1">
      <alignment horizontal="center"/>
    </xf>
    <xf numFmtId="0" fontId="15" fillId="4" borderId="42" xfId="0" applyFont="1" applyFill="1" applyBorder="1" applyAlignment="1">
      <alignment horizontal="center"/>
    </xf>
    <xf numFmtId="0" fontId="15" fillId="4" borderId="7" xfId="0" applyFont="1" applyFill="1" applyBorder="1" applyAlignment="1">
      <alignment horizontal="left"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left" vertical="center"/>
    </xf>
    <xf numFmtId="0" fontId="14" fillId="4" borderId="46" xfId="0" applyFont="1" applyFill="1" applyBorder="1" applyAlignment="1">
      <alignment horizontal="left" vertical="center"/>
    </xf>
    <xf numFmtId="0" fontId="14" fillId="4" borderId="49" xfId="0" applyFont="1" applyFill="1" applyBorder="1" applyAlignment="1">
      <alignment horizontal="left" vertical="center"/>
    </xf>
    <xf numFmtId="0" fontId="14" fillId="4" borderId="47" xfId="0" applyFont="1" applyFill="1" applyBorder="1" applyAlignment="1">
      <alignment horizontal="left" vertical="center"/>
    </xf>
    <xf numFmtId="0" fontId="1" fillId="4" borderId="2" xfId="0" applyFont="1" applyFill="1" applyBorder="1" applyAlignment="1">
      <alignment horizontal="left" vertical="center"/>
    </xf>
    <xf numFmtId="0" fontId="1" fillId="4" borderId="6" xfId="0" applyFont="1" applyFill="1" applyBorder="1" applyAlignment="1">
      <alignment horizontal="left" vertical="center"/>
    </xf>
    <xf numFmtId="0" fontId="1" fillId="4" borderId="3" xfId="0" applyFont="1" applyFill="1" applyBorder="1" applyAlignment="1">
      <alignment horizontal="left" vertical="center"/>
    </xf>
    <xf numFmtId="0" fontId="8" fillId="6" borderId="28" xfId="0" applyFont="1" applyFill="1" applyBorder="1" applyAlignment="1">
      <alignment horizontal="left" vertical="center"/>
    </xf>
    <xf numFmtId="0" fontId="3" fillId="4" borderId="1" xfId="0" applyFont="1" applyFill="1" applyBorder="1" applyAlignment="1">
      <alignment horizontal="center" vertical="center"/>
    </xf>
    <xf numFmtId="0" fontId="4" fillId="4" borderId="0" xfId="0" applyFont="1" applyFill="1" applyAlignment="1">
      <alignment horizontal="left" vertical="center" wrapText="1"/>
    </xf>
    <xf numFmtId="0" fontId="3" fillId="4" borderId="1" xfId="0" applyFont="1" applyFill="1" applyBorder="1" applyAlignment="1">
      <alignment horizontal="center"/>
    </xf>
    <xf numFmtId="0" fontId="3" fillId="4" borderId="4" xfId="0" applyFont="1" applyFill="1" applyBorder="1" applyAlignment="1">
      <alignment horizontal="left" vertical="center"/>
    </xf>
    <xf numFmtId="0" fontId="3" fillId="4" borderId="17" xfId="0" applyFont="1" applyFill="1" applyBorder="1" applyAlignment="1">
      <alignment horizontal="left" vertical="center"/>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1" fontId="1" fillId="3" borderId="4" xfId="0" applyNumberFormat="1" applyFont="1" applyFill="1" applyBorder="1" applyAlignment="1">
      <alignment horizontal="center" vertical="center"/>
    </xf>
    <xf numFmtId="1" fontId="1" fillId="3" borderId="17"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left" vertical="center"/>
    </xf>
    <xf numFmtId="0" fontId="3" fillId="4" borderId="6" xfId="0" applyFont="1" applyFill="1" applyBorder="1" applyAlignment="1">
      <alignment horizontal="center"/>
    </xf>
    <xf numFmtId="0" fontId="14" fillId="4" borderId="43" xfId="0" applyFont="1" applyFill="1" applyBorder="1" applyAlignment="1">
      <alignment horizontal="left" vertical="center" wrapText="1"/>
    </xf>
    <xf numFmtId="0" fontId="14" fillId="4" borderId="44" xfId="0" applyFont="1" applyFill="1" applyBorder="1" applyAlignment="1">
      <alignment horizontal="left" vertical="center" wrapText="1"/>
    </xf>
    <xf numFmtId="0" fontId="1" fillId="4" borderId="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5" xfId="0" applyFont="1" applyFill="1" applyBorder="1" applyAlignment="1">
      <alignment horizontal="center" vertical="center"/>
    </xf>
    <xf numFmtId="0" fontId="8" fillId="6" borderId="2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0" xfId="0" applyFont="1" applyFill="1" applyBorder="1" applyAlignment="1">
      <alignment horizontal="left"/>
    </xf>
    <xf numFmtId="0" fontId="1" fillId="4" borderId="1" xfId="0" applyFont="1" applyFill="1" applyBorder="1" applyAlignment="1">
      <alignment horizontal="center" vertical="center"/>
    </xf>
    <xf numFmtId="0" fontId="3" fillId="4" borderId="0" xfId="0" applyFont="1" applyFill="1" applyBorder="1" applyAlignment="1">
      <alignment horizontal="center"/>
    </xf>
    <xf numFmtId="0" fontId="3" fillId="4" borderId="40" xfId="0" applyFont="1" applyFill="1" applyBorder="1" applyAlignment="1">
      <alignment horizontal="left" vertical="center"/>
    </xf>
    <xf numFmtId="0" fontId="3" fillId="4" borderId="39" xfId="0" applyFont="1" applyFill="1" applyBorder="1" applyAlignment="1">
      <alignment horizontal="left" vertical="center"/>
    </xf>
    <xf numFmtId="0" fontId="3" fillId="4" borderId="10" xfId="0" applyFont="1" applyFill="1" applyBorder="1" applyAlignment="1">
      <alignment horizontal="left" vertical="center"/>
    </xf>
    <xf numFmtId="0" fontId="3" fillId="4" borderId="41" xfId="0" applyFont="1" applyFill="1" applyBorder="1" applyAlignment="1">
      <alignment horizontal="left" vertical="center"/>
    </xf>
    <xf numFmtId="0" fontId="3" fillId="4" borderId="7" xfId="0" applyFont="1" applyFill="1" applyBorder="1" applyAlignment="1">
      <alignment horizontal="left" vertical="center"/>
    </xf>
    <xf numFmtId="0" fontId="3" fillId="4" borderId="42" xfId="0" applyFont="1" applyFill="1" applyBorder="1" applyAlignment="1">
      <alignment horizontal="left" vertical="center"/>
    </xf>
    <xf numFmtId="0" fontId="1" fillId="4" borderId="43" xfId="0" applyFont="1" applyFill="1" applyBorder="1" applyAlignment="1">
      <alignment horizontal="left" vertical="center"/>
    </xf>
    <xf numFmtId="0" fontId="1" fillId="4" borderId="45" xfId="0" applyFont="1" applyFill="1" applyBorder="1" applyAlignment="1">
      <alignment horizontal="left" vertical="center"/>
    </xf>
    <xf numFmtId="0" fontId="1" fillId="4" borderId="44" xfId="0" applyFont="1" applyFill="1" applyBorder="1" applyAlignment="1">
      <alignment horizontal="left" vertical="center"/>
    </xf>
    <xf numFmtId="0" fontId="1" fillId="4" borderId="46" xfId="0" applyFont="1" applyFill="1" applyBorder="1" applyAlignment="1">
      <alignment horizontal="left" vertical="center"/>
    </xf>
    <xf numFmtId="0" fontId="1" fillId="4" borderId="49" xfId="0" applyFont="1" applyFill="1" applyBorder="1" applyAlignment="1">
      <alignment horizontal="left" vertical="center"/>
    </xf>
    <xf numFmtId="0" fontId="1" fillId="4" borderId="47" xfId="0" applyFont="1" applyFill="1" applyBorder="1" applyAlignment="1">
      <alignment horizontal="left" vertical="center"/>
    </xf>
    <xf numFmtId="0" fontId="14" fillId="4" borderId="43" xfId="0" applyFont="1" applyFill="1" applyBorder="1" applyAlignment="1">
      <alignment horizontal="left" vertical="center"/>
    </xf>
    <xf numFmtId="0" fontId="14" fillId="4" borderId="45" xfId="0" applyFont="1" applyFill="1" applyBorder="1" applyAlignment="1">
      <alignment horizontal="left" vertical="center"/>
    </xf>
    <xf numFmtId="0" fontId="14" fillId="4" borderId="44" xfId="0" applyFont="1" applyFill="1" applyBorder="1" applyAlignment="1">
      <alignment horizontal="left" vertical="center"/>
    </xf>
    <xf numFmtId="0" fontId="3" fillId="4" borderId="3" xfId="0" applyFont="1" applyFill="1" applyBorder="1" applyAlignment="1">
      <alignment horizontal="left" vertical="center"/>
    </xf>
    <xf numFmtId="0" fontId="14" fillId="4" borderId="41" xfId="0" applyFont="1" applyFill="1" applyBorder="1" applyAlignment="1">
      <alignment horizontal="left" vertical="center" wrapText="1"/>
    </xf>
    <xf numFmtId="0" fontId="14" fillId="4" borderId="42" xfId="0" applyFont="1" applyFill="1" applyBorder="1" applyAlignment="1">
      <alignment horizontal="left"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9" fillId="4" borderId="0" xfId="0" applyFont="1" applyFill="1" applyAlignment="1">
      <alignment vertical="top" wrapText="1"/>
    </xf>
    <xf numFmtId="1" fontId="1" fillId="4" borderId="2" xfId="2" applyNumberFormat="1" applyFont="1" applyFill="1" applyBorder="1" applyAlignment="1">
      <alignment horizontal="left" vertical="center" wrapText="1"/>
    </xf>
    <xf numFmtId="1" fontId="1" fillId="4" borderId="6" xfId="2" applyNumberFormat="1" applyFont="1" applyFill="1" applyBorder="1" applyAlignment="1">
      <alignment horizontal="left" vertical="center" wrapText="1"/>
    </xf>
    <xf numFmtId="1" fontId="1" fillId="4" borderId="3" xfId="2" applyNumberFormat="1"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1" fontId="1" fillId="4" borderId="7" xfId="2" applyNumberFormat="1" applyFont="1" applyFill="1" applyBorder="1" applyAlignment="1">
      <alignment horizontal="left" vertical="center" wrapText="1"/>
    </xf>
    <xf numFmtId="1" fontId="1" fillId="4" borderId="42" xfId="2" applyNumberFormat="1" applyFont="1" applyFill="1" applyBorder="1" applyAlignment="1">
      <alignment horizontal="left" vertical="center" wrapText="1"/>
    </xf>
    <xf numFmtId="0" fontId="3" fillId="4" borderId="0" xfId="0" applyFont="1" applyFill="1" applyAlignment="1">
      <alignment horizontal="right" vertical="center"/>
    </xf>
    <xf numFmtId="0" fontId="3" fillId="4" borderId="9" xfId="0" applyFont="1" applyFill="1" applyBorder="1" applyAlignment="1">
      <alignment horizontal="right" vertical="center"/>
    </xf>
    <xf numFmtId="0" fontId="14" fillId="4" borderId="40" xfId="0" applyFont="1" applyFill="1" applyBorder="1" applyAlignment="1">
      <alignment horizontal="left" vertical="center" wrapText="1"/>
    </xf>
    <xf numFmtId="0" fontId="14" fillId="4" borderId="3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7" fillId="3" borderId="4"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5"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6" fillId="4" borderId="0" xfId="0" applyFont="1" applyFill="1" applyAlignment="1">
      <alignment horizontal="left" vertical="top" wrapText="1"/>
    </xf>
  </cellXfs>
  <cellStyles count="3">
    <cellStyle name="Normal" xfId="0" builtinId="0"/>
    <cellStyle name="Normal 2" xfId="1"/>
    <cellStyle name="Prosent" xfId="2" builtinId="5"/>
  </cellStyles>
  <dxfs count="0"/>
  <tableStyles count="0" defaultTableStyle="TableStyleMedium2" defaultPivotStyle="PivotStyleLight16"/>
  <colors>
    <mruColors>
      <color rgb="FFFF5050"/>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Resultat!$C$29:$D$29</c:f>
              <c:strCache>
                <c:ptCount val="2"/>
                <c:pt idx="0">
                  <c:v>Bygningsmasse og uteområder</c:v>
                </c:pt>
              </c:strCache>
            </c:strRef>
          </c:tx>
          <c:spPr>
            <a:solidFill>
              <a:schemeClr val="accent1">
                <a:lumMod val="50000"/>
              </a:schemeClr>
            </a:solidFill>
            <a:ln>
              <a:noFill/>
            </a:ln>
            <a:effectLst/>
          </c:spPr>
          <c:invertIfNegative val="0"/>
          <c:cat>
            <c:strRef>
              <c:f>Resultat!$E$28:$F$28</c:f>
              <c:strCache>
                <c:ptCount val="2"/>
                <c:pt idx="0">
                  <c:v>Hovedscenario</c:v>
                </c:pt>
                <c:pt idx="1">
                  <c:v>Scenario med tiltak</c:v>
                </c:pt>
              </c:strCache>
            </c:strRef>
          </c:cat>
          <c:val>
            <c:numRef>
              <c:f>Resultat!$E$29:$F$29</c:f>
              <c:numCache>
                <c:formatCode>#,##0</c:formatCode>
                <c:ptCount val="2"/>
                <c:pt idx="0">
                  <c:v>0</c:v>
                </c:pt>
                <c:pt idx="1">
                  <c:v>0</c:v>
                </c:pt>
              </c:numCache>
            </c:numRef>
          </c:val>
          <c:extLst>
            <c:ext xmlns:c16="http://schemas.microsoft.com/office/drawing/2014/chart" uri="{C3380CC4-5D6E-409C-BE32-E72D297353CC}">
              <c16:uniqueId val="{00000000-6C37-42B7-852F-AB19CCEA5E46}"/>
            </c:ext>
          </c:extLst>
        </c:ser>
        <c:ser>
          <c:idx val="1"/>
          <c:order val="1"/>
          <c:tx>
            <c:strRef>
              <c:f>Resultat!$C$30:$D$30</c:f>
              <c:strCache>
                <c:ptCount val="2"/>
                <c:pt idx="0">
                  <c:v>Byggeplass</c:v>
                </c:pt>
              </c:strCache>
            </c:strRef>
          </c:tx>
          <c:spPr>
            <a:solidFill>
              <a:srgbClr val="00B0F0"/>
            </a:solidFill>
            <a:ln>
              <a:noFill/>
            </a:ln>
            <a:effectLst/>
          </c:spPr>
          <c:invertIfNegative val="0"/>
          <c:cat>
            <c:strRef>
              <c:f>Resultat!$E$28:$F$28</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1-6C37-42B7-852F-AB19CCEA5E46}"/>
            </c:ext>
          </c:extLst>
        </c:ser>
        <c:ser>
          <c:idx val="2"/>
          <c:order val="2"/>
          <c:tx>
            <c:strRef>
              <c:f>Resultat!$C$31:$D$31</c:f>
              <c:strCache>
                <c:ptCount val="2"/>
                <c:pt idx="0">
                  <c:v>Energibruk</c:v>
                </c:pt>
              </c:strCache>
            </c:strRef>
          </c:tx>
          <c:spPr>
            <a:solidFill>
              <a:srgbClr val="92D050"/>
            </a:solidFill>
            <a:ln>
              <a:noFill/>
            </a:ln>
            <a:effectLst/>
          </c:spPr>
          <c:invertIfNegative val="0"/>
          <c:cat>
            <c:strRef>
              <c:f>Resultat!$E$28:$F$28</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2-6C37-42B7-852F-AB19CCEA5E46}"/>
            </c:ext>
          </c:extLst>
        </c:ser>
        <c:ser>
          <c:idx val="3"/>
          <c:order val="3"/>
          <c:tx>
            <c:strRef>
              <c:f>Resultat!$C$32:$D$32</c:f>
              <c:strCache>
                <c:ptCount val="2"/>
                <c:pt idx="0">
                  <c:v>Arealbruksendring</c:v>
                </c:pt>
              </c:strCache>
            </c:strRef>
          </c:tx>
          <c:spPr>
            <a:solidFill>
              <a:schemeClr val="accent6">
                <a:lumMod val="75000"/>
              </a:schemeClr>
            </a:solidFill>
            <a:ln>
              <a:noFill/>
            </a:ln>
            <a:effectLst/>
          </c:spPr>
          <c:invertIfNegative val="0"/>
          <c:cat>
            <c:strRef>
              <c:f>Resultat!$E$28:$F$28</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3-6C37-42B7-852F-AB19CCEA5E46}"/>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2.8277702533510596E-3"/>
              <c:y val="0.2608693004676539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Resultat!$C$51:$D$51</c:f>
              <c:strCache>
                <c:ptCount val="2"/>
                <c:pt idx="0">
                  <c:v>Bygningsmasse og uteområder</c:v>
                </c:pt>
              </c:strCache>
            </c:strRef>
          </c:tx>
          <c:spPr>
            <a:solidFill>
              <a:srgbClr val="5B9BD5">
                <a:lumMod val="50000"/>
              </a:srgbClr>
            </a:solidFill>
            <a:ln>
              <a:noFill/>
            </a:ln>
            <a:effectLst/>
          </c:spPr>
          <c:invertIfNegative val="0"/>
          <c:cat>
            <c:strRef>
              <c:f>Resultat!$E$50:$F$50</c:f>
              <c:strCache>
                <c:ptCount val="2"/>
                <c:pt idx="0">
                  <c:v>Hovedscenario</c:v>
                </c:pt>
                <c:pt idx="1">
                  <c:v>Scenario med tiltak</c:v>
                </c:pt>
              </c:strCache>
            </c:strRef>
          </c:cat>
          <c:val>
            <c:numRef>
              <c:f>Resultat!$E$51:$F$51</c:f>
              <c:numCache>
                <c:formatCode>#,##0</c:formatCode>
                <c:ptCount val="2"/>
                <c:pt idx="0">
                  <c:v>0</c:v>
                </c:pt>
                <c:pt idx="1">
                  <c:v>0</c:v>
                </c:pt>
              </c:numCache>
            </c:numRef>
          </c:val>
          <c:extLst>
            <c:ext xmlns:c16="http://schemas.microsoft.com/office/drawing/2014/chart" uri="{C3380CC4-5D6E-409C-BE32-E72D297353CC}">
              <c16:uniqueId val="{00000000-B37C-4830-9816-C7149C42104F}"/>
            </c:ext>
          </c:extLst>
        </c:ser>
        <c:ser>
          <c:idx val="1"/>
          <c:order val="1"/>
          <c:tx>
            <c:strRef>
              <c:f>Resultat!$C$52:$D$52</c:f>
              <c:strCache>
                <c:ptCount val="2"/>
                <c:pt idx="0">
                  <c:v>Byggeplass</c:v>
                </c:pt>
              </c:strCache>
            </c:strRef>
          </c:tx>
          <c:spPr>
            <a:solidFill>
              <a:srgbClr val="00B0F0"/>
            </a:solidFill>
            <a:ln>
              <a:noFill/>
            </a:ln>
            <a:effectLst/>
          </c:spPr>
          <c:invertIfNegative val="0"/>
          <c:cat>
            <c:strRef>
              <c:f>Resultat!$E$50:$F$50</c:f>
              <c:strCache>
                <c:ptCount val="2"/>
                <c:pt idx="0">
                  <c:v>Hovedscenario</c:v>
                </c:pt>
                <c:pt idx="1">
                  <c:v>Scenario med tiltak</c:v>
                </c:pt>
              </c:strCache>
            </c:strRef>
          </c:cat>
          <c:val>
            <c:numRef>
              <c:f>Resultat!$E$52:$F$52</c:f>
              <c:numCache>
                <c:formatCode>#,##0</c:formatCode>
                <c:ptCount val="2"/>
                <c:pt idx="0">
                  <c:v>0</c:v>
                </c:pt>
                <c:pt idx="1">
                  <c:v>0</c:v>
                </c:pt>
              </c:numCache>
            </c:numRef>
          </c:val>
          <c:extLst>
            <c:ext xmlns:c16="http://schemas.microsoft.com/office/drawing/2014/chart" uri="{C3380CC4-5D6E-409C-BE32-E72D297353CC}">
              <c16:uniqueId val="{00000001-B37C-4830-9816-C7149C42104F}"/>
            </c:ext>
          </c:extLst>
        </c:ser>
        <c:ser>
          <c:idx val="2"/>
          <c:order val="2"/>
          <c:tx>
            <c:strRef>
              <c:f>Resultat!$C$53:$D$53</c:f>
              <c:strCache>
                <c:ptCount val="2"/>
                <c:pt idx="0">
                  <c:v>Energibruk</c:v>
                </c:pt>
              </c:strCache>
            </c:strRef>
          </c:tx>
          <c:spPr>
            <a:solidFill>
              <a:srgbClr val="92D050"/>
            </a:solidFill>
            <a:ln>
              <a:noFill/>
            </a:ln>
            <a:effectLst/>
          </c:spPr>
          <c:invertIfNegative val="0"/>
          <c:cat>
            <c:strRef>
              <c:f>Resultat!$E$50:$F$50</c:f>
              <c:strCache>
                <c:ptCount val="2"/>
                <c:pt idx="0">
                  <c:v>Hovedscenario</c:v>
                </c:pt>
                <c:pt idx="1">
                  <c:v>Scenario med tiltak</c:v>
                </c:pt>
              </c:strCache>
            </c:strRef>
          </c:cat>
          <c:val>
            <c:numRef>
              <c:f>Resultat!$E$53:$F$53</c:f>
              <c:numCache>
                <c:formatCode>#,##0</c:formatCode>
                <c:ptCount val="2"/>
                <c:pt idx="0">
                  <c:v>0</c:v>
                </c:pt>
                <c:pt idx="1">
                  <c:v>0</c:v>
                </c:pt>
              </c:numCache>
            </c:numRef>
          </c:val>
          <c:extLst>
            <c:ext xmlns:c16="http://schemas.microsoft.com/office/drawing/2014/chart" uri="{C3380CC4-5D6E-409C-BE32-E72D297353CC}">
              <c16:uniqueId val="{00000002-B37C-4830-9816-C7149C42104F}"/>
            </c:ext>
          </c:extLst>
        </c:ser>
        <c:ser>
          <c:idx val="3"/>
          <c:order val="3"/>
          <c:tx>
            <c:strRef>
              <c:f>Resultat!$C$54:$D$54</c:f>
              <c:strCache>
                <c:ptCount val="2"/>
                <c:pt idx="0">
                  <c:v>Arealbruksendring</c:v>
                </c:pt>
              </c:strCache>
            </c:strRef>
          </c:tx>
          <c:spPr>
            <a:solidFill>
              <a:srgbClr val="70AD47">
                <a:lumMod val="75000"/>
              </a:srgbClr>
            </a:solidFill>
            <a:ln>
              <a:noFill/>
            </a:ln>
            <a:effectLst/>
          </c:spPr>
          <c:invertIfNegative val="0"/>
          <c:cat>
            <c:strRef>
              <c:f>Resultat!$E$50:$F$50</c:f>
              <c:strCache>
                <c:ptCount val="2"/>
                <c:pt idx="0">
                  <c:v>Hovedscenario</c:v>
                </c:pt>
                <c:pt idx="1">
                  <c:v>Scenario med tiltak</c:v>
                </c:pt>
              </c:strCache>
            </c:strRef>
          </c:cat>
          <c:val>
            <c:numRef>
              <c:f>Resultat!$E$54:$F$54</c:f>
              <c:numCache>
                <c:formatCode>#,##0</c:formatCode>
                <c:ptCount val="2"/>
                <c:pt idx="0">
                  <c:v>0</c:v>
                </c:pt>
                <c:pt idx="1">
                  <c:v>0</c:v>
                </c:pt>
              </c:numCache>
            </c:numRef>
          </c:val>
          <c:extLst>
            <c:ext xmlns:c16="http://schemas.microsoft.com/office/drawing/2014/chart" uri="{C3380CC4-5D6E-409C-BE32-E72D297353CC}">
              <c16:uniqueId val="{00000003-B37C-4830-9816-C7149C42104F}"/>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2.8276221666674538E-3"/>
              <c:y val="0.2631943178603978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Resultat!$C$33:$D$33</c:f>
              <c:strCache>
                <c:ptCount val="2"/>
                <c:pt idx="0">
                  <c:v>Transport</c:v>
                </c:pt>
              </c:strCache>
            </c:strRef>
          </c:tx>
          <c:spPr>
            <a:solidFill>
              <a:srgbClr val="FF5050"/>
            </a:solidFill>
            <a:ln>
              <a:noFill/>
            </a:ln>
            <a:effectLst/>
          </c:spPr>
          <c:invertIfNegative val="0"/>
          <c:cat>
            <c:strRef>
              <c:f>Resultat!$E$28:$F$28</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0-0CAC-4DF7-8C3F-2F334A26F1B9}"/>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3.5438278579079427E-2"/>
              <c:y val="0.2767984337426724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5151637149793E-2"/>
          <c:y val="0.17398631902448697"/>
          <c:w val="0.92969696725700413"/>
          <c:h val="2.9329018331476601E-2"/>
        </c:manualLayout>
      </c:layout>
      <c:barChart>
        <c:barDir val="col"/>
        <c:grouping val="stacked"/>
        <c:varyColors val="0"/>
        <c:ser>
          <c:idx val="0"/>
          <c:order val="0"/>
          <c:tx>
            <c:strRef>
              <c:f>Resultat!$C$29:$D$29</c:f>
              <c:strCache>
                <c:ptCount val="2"/>
                <c:pt idx="0">
                  <c:v>Bygningsmasse og uteområder</c:v>
                </c:pt>
              </c:strCache>
            </c:strRef>
          </c:tx>
          <c:spPr>
            <a:solidFill>
              <a:schemeClr val="accent1">
                <a:lumMod val="50000"/>
              </a:schemeClr>
            </a:solidFill>
            <a:ln>
              <a:noFill/>
            </a:ln>
            <a:effectLst/>
          </c:spPr>
          <c:invertIfNegative val="0"/>
          <c:cat>
            <c:strRef>
              <c:f>Resultat!$E$28:$F$28</c:f>
              <c:strCache>
                <c:ptCount val="2"/>
                <c:pt idx="0">
                  <c:v>Hovedscenario</c:v>
                </c:pt>
                <c:pt idx="1">
                  <c:v>Scenario med tiltak</c:v>
                </c:pt>
              </c:strCache>
            </c:strRef>
          </c:cat>
          <c:val>
            <c:numRef>
              <c:f>Resultat!$E$29:$F$29</c:f>
              <c:numCache>
                <c:formatCode>#,##0</c:formatCode>
                <c:ptCount val="2"/>
                <c:pt idx="0">
                  <c:v>0</c:v>
                </c:pt>
                <c:pt idx="1">
                  <c:v>0</c:v>
                </c:pt>
              </c:numCache>
            </c:numRef>
          </c:val>
          <c:extLst>
            <c:ext xmlns:c16="http://schemas.microsoft.com/office/drawing/2014/chart" uri="{C3380CC4-5D6E-409C-BE32-E72D297353CC}">
              <c16:uniqueId val="{00000000-0E7F-45F2-93DD-1125EB00402F}"/>
            </c:ext>
          </c:extLst>
        </c:ser>
        <c:ser>
          <c:idx val="1"/>
          <c:order val="1"/>
          <c:tx>
            <c:strRef>
              <c:f>Resultat!$C$30:$D$30</c:f>
              <c:strCache>
                <c:ptCount val="2"/>
                <c:pt idx="0">
                  <c:v>Byggeplass</c:v>
                </c:pt>
              </c:strCache>
            </c:strRef>
          </c:tx>
          <c:spPr>
            <a:solidFill>
              <a:srgbClr val="00B0F0"/>
            </a:solidFill>
            <a:ln>
              <a:noFill/>
            </a:ln>
            <a:effectLst/>
          </c:spPr>
          <c:invertIfNegative val="0"/>
          <c:cat>
            <c:strRef>
              <c:f>Resultat!$E$28:$F$28</c:f>
              <c:strCache>
                <c:ptCount val="2"/>
                <c:pt idx="0">
                  <c:v>Hovedscenario</c:v>
                </c:pt>
                <c:pt idx="1">
                  <c:v>Scenario med tiltak</c:v>
                </c:pt>
              </c:strCache>
            </c:strRef>
          </c:cat>
          <c:val>
            <c:numRef>
              <c:f>Resultat!$E$30:$F$30</c:f>
              <c:numCache>
                <c:formatCode>#,##0</c:formatCode>
                <c:ptCount val="2"/>
                <c:pt idx="0">
                  <c:v>0</c:v>
                </c:pt>
                <c:pt idx="1">
                  <c:v>0</c:v>
                </c:pt>
              </c:numCache>
            </c:numRef>
          </c:val>
          <c:extLst>
            <c:ext xmlns:c16="http://schemas.microsoft.com/office/drawing/2014/chart" uri="{C3380CC4-5D6E-409C-BE32-E72D297353CC}">
              <c16:uniqueId val="{00000001-0E7F-45F2-93DD-1125EB00402F}"/>
            </c:ext>
          </c:extLst>
        </c:ser>
        <c:ser>
          <c:idx val="2"/>
          <c:order val="2"/>
          <c:tx>
            <c:strRef>
              <c:f>Resultat!$C$31:$D$31</c:f>
              <c:strCache>
                <c:ptCount val="2"/>
                <c:pt idx="0">
                  <c:v>Energibruk</c:v>
                </c:pt>
              </c:strCache>
            </c:strRef>
          </c:tx>
          <c:spPr>
            <a:solidFill>
              <a:srgbClr val="92D050"/>
            </a:solidFill>
            <a:ln>
              <a:noFill/>
            </a:ln>
            <a:effectLst/>
          </c:spPr>
          <c:invertIfNegative val="0"/>
          <c:cat>
            <c:strRef>
              <c:f>Resultat!$E$28:$F$28</c:f>
              <c:strCache>
                <c:ptCount val="2"/>
                <c:pt idx="0">
                  <c:v>Hovedscenario</c:v>
                </c:pt>
                <c:pt idx="1">
                  <c:v>Scenario med tiltak</c:v>
                </c:pt>
              </c:strCache>
            </c:strRef>
          </c:cat>
          <c:val>
            <c:numRef>
              <c:f>Resultat!$E$31:$F$31</c:f>
              <c:numCache>
                <c:formatCode>#,##0</c:formatCode>
                <c:ptCount val="2"/>
                <c:pt idx="0">
                  <c:v>0</c:v>
                </c:pt>
                <c:pt idx="1">
                  <c:v>0</c:v>
                </c:pt>
              </c:numCache>
            </c:numRef>
          </c:val>
          <c:extLst>
            <c:ext xmlns:c16="http://schemas.microsoft.com/office/drawing/2014/chart" uri="{C3380CC4-5D6E-409C-BE32-E72D297353CC}">
              <c16:uniqueId val="{00000002-0E7F-45F2-93DD-1125EB00402F}"/>
            </c:ext>
          </c:extLst>
        </c:ser>
        <c:ser>
          <c:idx val="3"/>
          <c:order val="3"/>
          <c:tx>
            <c:strRef>
              <c:f>Resultat!$C$32:$D$32</c:f>
              <c:strCache>
                <c:ptCount val="2"/>
                <c:pt idx="0">
                  <c:v>Arealbruksendring</c:v>
                </c:pt>
              </c:strCache>
            </c:strRef>
          </c:tx>
          <c:spPr>
            <a:solidFill>
              <a:schemeClr val="accent6">
                <a:lumMod val="75000"/>
              </a:schemeClr>
            </a:solidFill>
            <a:ln>
              <a:noFill/>
            </a:ln>
            <a:effectLst/>
          </c:spPr>
          <c:invertIfNegative val="0"/>
          <c:cat>
            <c:strRef>
              <c:f>Resultat!$E$28:$F$28</c:f>
              <c:strCache>
                <c:ptCount val="2"/>
                <c:pt idx="0">
                  <c:v>Hovedscenario</c:v>
                </c:pt>
                <c:pt idx="1">
                  <c:v>Scenario med tiltak</c:v>
                </c:pt>
              </c:strCache>
            </c:strRef>
          </c:cat>
          <c:val>
            <c:numRef>
              <c:f>Resultat!$E$32:$F$32</c:f>
              <c:numCache>
                <c:formatCode>#,##0</c:formatCode>
                <c:ptCount val="2"/>
                <c:pt idx="0">
                  <c:v>0</c:v>
                </c:pt>
                <c:pt idx="1">
                  <c:v>0</c:v>
                </c:pt>
              </c:numCache>
            </c:numRef>
          </c:val>
          <c:extLst>
            <c:ext xmlns:c16="http://schemas.microsoft.com/office/drawing/2014/chart" uri="{C3380CC4-5D6E-409C-BE32-E72D297353CC}">
              <c16:uniqueId val="{00000003-0E7F-45F2-93DD-1125EB00402F}"/>
            </c:ext>
          </c:extLst>
        </c:ser>
        <c:ser>
          <c:idx val="4"/>
          <c:order val="4"/>
          <c:tx>
            <c:strRef>
              <c:f>Resultat!$C$33:$D$33</c:f>
              <c:strCache>
                <c:ptCount val="2"/>
                <c:pt idx="0">
                  <c:v>Transport</c:v>
                </c:pt>
              </c:strCache>
            </c:strRef>
          </c:tx>
          <c:spPr>
            <a:solidFill>
              <a:srgbClr val="FF5050"/>
            </a:solidFill>
            <a:ln>
              <a:noFill/>
            </a:ln>
            <a:effectLst/>
          </c:spPr>
          <c:invertIfNegative val="0"/>
          <c:cat>
            <c:strRef>
              <c:f>Resultat!$E$28:$F$28</c:f>
              <c:strCache>
                <c:ptCount val="2"/>
                <c:pt idx="0">
                  <c:v>Hovedscenario</c:v>
                </c:pt>
                <c:pt idx="1">
                  <c:v>Scenario med tiltak</c:v>
                </c:pt>
              </c:strCache>
            </c:strRef>
          </c:cat>
          <c:val>
            <c:numRef>
              <c:f>Resultat!$E$33:$F$33</c:f>
              <c:numCache>
                <c:formatCode>#,##0</c:formatCode>
                <c:ptCount val="2"/>
                <c:pt idx="0">
                  <c:v>0</c:v>
                </c:pt>
                <c:pt idx="1">
                  <c:v>0</c:v>
                </c:pt>
              </c:numCache>
            </c:numRef>
          </c:val>
          <c:extLst>
            <c:ext xmlns:c16="http://schemas.microsoft.com/office/drawing/2014/chart" uri="{C3380CC4-5D6E-409C-BE32-E72D297353CC}">
              <c16:uniqueId val="{00000005-0E7F-45F2-93DD-1125EB00402F}"/>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1"/>
        <c:axPos val="b"/>
        <c:numFmt formatCode="General" sourceLinked="1"/>
        <c:majorTickMark val="none"/>
        <c:minorTickMark val="none"/>
        <c:tickLblPos val="nextTo"/>
        <c:crossAx val="582213256"/>
        <c:crosses val="autoZero"/>
        <c:auto val="1"/>
        <c:lblAlgn val="ctr"/>
        <c:lblOffset val="100"/>
        <c:noMultiLvlLbl val="0"/>
      </c:catAx>
      <c:valAx>
        <c:axId val="582213256"/>
        <c:scaling>
          <c:orientation val="minMax"/>
        </c:scaling>
        <c:delete val="1"/>
        <c:axPos val="l"/>
        <c:numFmt formatCode="#,##0" sourceLinked="1"/>
        <c:majorTickMark val="none"/>
        <c:minorTickMark val="none"/>
        <c:tickLblPos val="nextTo"/>
        <c:crossAx val="582212272"/>
        <c:crosses val="autoZero"/>
        <c:crossBetween val="between"/>
      </c:valAx>
      <c:spPr>
        <a:noFill/>
        <a:ln w="25400">
          <a:noFill/>
        </a:ln>
        <a:effectLst/>
      </c:spPr>
    </c:plotArea>
    <c:legend>
      <c:legendPos val="t"/>
      <c:layout>
        <c:manualLayout>
          <c:xMode val="edge"/>
          <c:yMode val="edge"/>
          <c:x val="3.9865727157316639E-3"/>
          <c:y val="4.8119930118088829E-2"/>
          <c:w val="0.99601342728426834"/>
          <c:h val="0.72120089599628845"/>
        </c:manualLayout>
      </c:layout>
      <c:overlay val="0"/>
      <c:spPr>
        <a:solidFill>
          <a:schemeClr val="bg1">
            <a:lumMod val="95000"/>
          </a:schemeClr>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900"/>
      </a:pPr>
      <a:endParaRPr lang="nb-NO"/>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Resultat!$C$51:$D$51</c:f>
              <c:strCache>
                <c:ptCount val="2"/>
                <c:pt idx="0">
                  <c:v>Bygningsmasse og uteområder</c:v>
                </c:pt>
              </c:strCache>
            </c:strRef>
          </c:tx>
          <c:spPr>
            <a:solidFill>
              <a:srgbClr val="5B9BD5">
                <a:lumMod val="50000"/>
              </a:srgbClr>
            </a:solidFill>
            <a:ln>
              <a:noFill/>
            </a:ln>
            <a:effectLst/>
          </c:spPr>
          <c:invertIfNegative val="0"/>
          <c:cat>
            <c:strRef>
              <c:f>Resultat!$E$50:$F$50</c:f>
              <c:strCache>
                <c:ptCount val="2"/>
                <c:pt idx="0">
                  <c:v>Hovedscenario</c:v>
                </c:pt>
                <c:pt idx="1">
                  <c:v>Scenario med tiltak</c:v>
                </c:pt>
              </c:strCache>
            </c:strRef>
          </c:cat>
          <c:val>
            <c:numRef>
              <c:f>Resultat!$E$51:$F$51</c:f>
              <c:numCache>
                <c:formatCode>#,##0</c:formatCode>
                <c:ptCount val="2"/>
                <c:pt idx="0">
                  <c:v>0</c:v>
                </c:pt>
                <c:pt idx="1">
                  <c:v>0</c:v>
                </c:pt>
              </c:numCache>
            </c:numRef>
          </c:val>
          <c:extLst>
            <c:ext xmlns:c16="http://schemas.microsoft.com/office/drawing/2014/chart" uri="{C3380CC4-5D6E-409C-BE32-E72D297353CC}">
              <c16:uniqueId val="{00000000-D89E-4F42-B96D-530A848E4D57}"/>
            </c:ext>
          </c:extLst>
        </c:ser>
        <c:ser>
          <c:idx val="1"/>
          <c:order val="1"/>
          <c:tx>
            <c:strRef>
              <c:f>Resultat!$C$52:$D$52</c:f>
              <c:strCache>
                <c:ptCount val="2"/>
                <c:pt idx="0">
                  <c:v>Byggeplass</c:v>
                </c:pt>
              </c:strCache>
            </c:strRef>
          </c:tx>
          <c:spPr>
            <a:solidFill>
              <a:srgbClr val="00B0F0"/>
            </a:solidFill>
            <a:ln>
              <a:noFill/>
            </a:ln>
            <a:effectLst/>
          </c:spPr>
          <c:invertIfNegative val="0"/>
          <c:cat>
            <c:strRef>
              <c:f>Resultat!$E$50:$F$50</c:f>
              <c:strCache>
                <c:ptCount val="2"/>
                <c:pt idx="0">
                  <c:v>Hovedscenario</c:v>
                </c:pt>
                <c:pt idx="1">
                  <c:v>Scenario med tiltak</c:v>
                </c:pt>
              </c:strCache>
            </c:strRef>
          </c:cat>
          <c:val>
            <c:numRef>
              <c:f>Resultat!$E$52:$F$52</c:f>
              <c:numCache>
                <c:formatCode>#,##0</c:formatCode>
                <c:ptCount val="2"/>
                <c:pt idx="0">
                  <c:v>0</c:v>
                </c:pt>
                <c:pt idx="1">
                  <c:v>0</c:v>
                </c:pt>
              </c:numCache>
            </c:numRef>
          </c:val>
          <c:extLst>
            <c:ext xmlns:c16="http://schemas.microsoft.com/office/drawing/2014/chart" uri="{C3380CC4-5D6E-409C-BE32-E72D297353CC}">
              <c16:uniqueId val="{00000001-D89E-4F42-B96D-530A848E4D57}"/>
            </c:ext>
          </c:extLst>
        </c:ser>
        <c:ser>
          <c:idx val="2"/>
          <c:order val="2"/>
          <c:tx>
            <c:strRef>
              <c:f>Resultat!$C$53:$D$53</c:f>
              <c:strCache>
                <c:ptCount val="2"/>
                <c:pt idx="0">
                  <c:v>Energibruk</c:v>
                </c:pt>
              </c:strCache>
            </c:strRef>
          </c:tx>
          <c:spPr>
            <a:solidFill>
              <a:srgbClr val="92D050"/>
            </a:solidFill>
            <a:ln>
              <a:noFill/>
            </a:ln>
            <a:effectLst/>
          </c:spPr>
          <c:invertIfNegative val="0"/>
          <c:cat>
            <c:strRef>
              <c:f>Resultat!$E$50:$F$50</c:f>
              <c:strCache>
                <c:ptCount val="2"/>
                <c:pt idx="0">
                  <c:v>Hovedscenario</c:v>
                </c:pt>
                <c:pt idx="1">
                  <c:v>Scenario med tiltak</c:v>
                </c:pt>
              </c:strCache>
            </c:strRef>
          </c:cat>
          <c:val>
            <c:numRef>
              <c:f>Resultat!$E$53:$F$53</c:f>
              <c:numCache>
                <c:formatCode>#,##0</c:formatCode>
                <c:ptCount val="2"/>
                <c:pt idx="0">
                  <c:v>0</c:v>
                </c:pt>
                <c:pt idx="1">
                  <c:v>0</c:v>
                </c:pt>
              </c:numCache>
            </c:numRef>
          </c:val>
          <c:extLst>
            <c:ext xmlns:c16="http://schemas.microsoft.com/office/drawing/2014/chart" uri="{C3380CC4-5D6E-409C-BE32-E72D297353CC}">
              <c16:uniqueId val="{00000002-D89E-4F42-B96D-530A848E4D57}"/>
            </c:ext>
          </c:extLst>
        </c:ser>
        <c:ser>
          <c:idx val="3"/>
          <c:order val="3"/>
          <c:tx>
            <c:strRef>
              <c:f>Resultat!$C$54:$D$54</c:f>
              <c:strCache>
                <c:ptCount val="2"/>
                <c:pt idx="0">
                  <c:v>Arealbruksendring</c:v>
                </c:pt>
              </c:strCache>
            </c:strRef>
          </c:tx>
          <c:spPr>
            <a:solidFill>
              <a:srgbClr val="70AD47">
                <a:lumMod val="75000"/>
              </a:srgbClr>
            </a:solidFill>
            <a:ln>
              <a:noFill/>
            </a:ln>
            <a:effectLst/>
          </c:spPr>
          <c:invertIfNegative val="0"/>
          <c:cat>
            <c:strRef>
              <c:f>Resultat!$E$50:$F$50</c:f>
              <c:strCache>
                <c:ptCount val="2"/>
                <c:pt idx="0">
                  <c:v>Hovedscenario</c:v>
                </c:pt>
                <c:pt idx="1">
                  <c:v>Scenario med tiltak</c:v>
                </c:pt>
              </c:strCache>
            </c:strRef>
          </c:cat>
          <c:val>
            <c:numRef>
              <c:f>Resultat!$E$54:$F$54</c:f>
              <c:numCache>
                <c:formatCode>#,##0</c:formatCode>
                <c:ptCount val="2"/>
                <c:pt idx="0">
                  <c:v>0</c:v>
                </c:pt>
                <c:pt idx="1">
                  <c:v>0</c:v>
                </c:pt>
              </c:numCache>
            </c:numRef>
          </c:val>
          <c:extLst>
            <c:ext xmlns:c16="http://schemas.microsoft.com/office/drawing/2014/chart" uri="{C3380CC4-5D6E-409C-BE32-E72D297353CC}">
              <c16:uniqueId val="{00000003-D89E-4F42-B96D-530A848E4D57}"/>
            </c:ext>
          </c:extLst>
        </c:ser>
        <c:ser>
          <c:idx val="4"/>
          <c:order val="4"/>
          <c:tx>
            <c:strRef>
              <c:f>Resultat!$C$55:$D$55</c:f>
              <c:strCache>
                <c:ptCount val="2"/>
                <c:pt idx="0">
                  <c:v>Transport</c:v>
                </c:pt>
              </c:strCache>
            </c:strRef>
          </c:tx>
          <c:spPr>
            <a:solidFill>
              <a:srgbClr val="FF5050"/>
            </a:solidFill>
            <a:ln>
              <a:noFill/>
            </a:ln>
            <a:effectLst/>
          </c:spPr>
          <c:invertIfNegative val="0"/>
          <c:cat>
            <c:strRef>
              <c:f>Resultat!$E$50:$F$50</c:f>
              <c:strCache>
                <c:ptCount val="2"/>
                <c:pt idx="0">
                  <c:v>Hovedscenario</c:v>
                </c:pt>
                <c:pt idx="1">
                  <c:v>Scenario med tiltak</c:v>
                </c:pt>
              </c:strCache>
            </c:strRef>
          </c:cat>
          <c:val>
            <c:numRef>
              <c:f>Resultat!$E$55:$F$55</c:f>
              <c:numCache>
                <c:formatCode>#,##0</c:formatCode>
                <c:ptCount val="2"/>
                <c:pt idx="0">
                  <c:v>0</c:v>
                </c:pt>
                <c:pt idx="1">
                  <c:v>0</c:v>
                </c:pt>
              </c:numCache>
            </c:numRef>
          </c:val>
          <c:extLst>
            <c:ext xmlns:c16="http://schemas.microsoft.com/office/drawing/2014/chart" uri="{C3380CC4-5D6E-409C-BE32-E72D297353CC}">
              <c16:uniqueId val="{00000004-D89E-4F42-B96D-530A848E4D57}"/>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82212272"/>
        <c:crosses val="autoZero"/>
        <c:crossBetween val="between"/>
      </c:valAx>
      <c:spPr>
        <a:noFill/>
        <a:ln>
          <a:noFill/>
        </a:ln>
        <a:effectLst/>
      </c:spPr>
    </c:plotArea>
    <c:legend>
      <c:legendPos val="t"/>
      <c:layout>
        <c:manualLayout>
          <c:xMode val="edge"/>
          <c:yMode val="edge"/>
          <c:x val="1.6834535528392407E-2"/>
          <c:y val="3.1935545079036093E-2"/>
          <c:w val="0.97783544014144796"/>
          <c:h val="0.9680644549209639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Resultat!$C$55:$D$55</c:f>
              <c:strCache>
                <c:ptCount val="2"/>
                <c:pt idx="0">
                  <c:v>Transport</c:v>
                </c:pt>
              </c:strCache>
            </c:strRef>
          </c:tx>
          <c:spPr>
            <a:solidFill>
              <a:srgbClr val="FF5050"/>
            </a:solidFill>
            <a:ln>
              <a:noFill/>
            </a:ln>
            <a:effectLst/>
          </c:spPr>
          <c:invertIfNegative val="0"/>
          <c:cat>
            <c:strRef>
              <c:f>Resultat!$E$50:$F$50</c:f>
              <c:strCache>
                <c:ptCount val="2"/>
                <c:pt idx="0">
                  <c:v>Hovedscenario</c:v>
                </c:pt>
                <c:pt idx="1">
                  <c:v>Scenario med tiltak</c:v>
                </c:pt>
              </c:strCache>
            </c:strRef>
          </c:cat>
          <c:val>
            <c:numRef>
              <c:f>Resultat!$E$55:$F$55</c:f>
              <c:numCache>
                <c:formatCode>#,##0</c:formatCode>
                <c:ptCount val="2"/>
                <c:pt idx="0">
                  <c:v>0</c:v>
                </c:pt>
                <c:pt idx="1">
                  <c:v>0</c:v>
                </c:pt>
              </c:numCache>
            </c:numRef>
          </c:val>
          <c:extLst>
            <c:ext xmlns:c16="http://schemas.microsoft.com/office/drawing/2014/chart" uri="{C3380CC4-5D6E-409C-BE32-E72D297353CC}">
              <c16:uniqueId val="{00000000-C866-442B-961F-C766E1596A86}"/>
            </c:ext>
          </c:extLst>
        </c:ser>
        <c:dLbls>
          <c:showLegendKey val="0"/>
          <c:showVal val="0"/>
          <c:showCatName val="0"/>
          <c:showSerName val="0"/>
          <c:showPercent val="0"/>
          <c:showBubbleSize val="0"/>
        </c:dLbls>
        <c:gapWidth val="150"/>
        <c:overlap val="100"/>
        <c:axId val="582212272"/>
        <c:axId val="582213256"/>
      </c:barChart>
      <c:catAx>
        <c:axId val="58221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b-NO"/>
          </a:p>
        </c:txPr>
        <c:crossAx val="582213256"/>
        <c:crosses val="autoZero"/>
        <c:auto val="1"/>
        <c:lblAlgn val="ctr"/>
        <c:lblOffset val="100"/>
        <c:noMultiLvlLbl val="0"/>
      </c:catAx>
      <c:valAx>
        <c:axId val="582213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nb-NO"/>
                  <a:t>tonn CO</a:t>
                </a:r>
                <a:r>
                  <a:rPr lang="nb-NO" baseline="-25000"/>
                  <a:t>2</a:t>
                </a:r>
                <a:r>
                  <a:rPr lang="nb-NO"/>
                  <a:t>e</a:t>
                </a:r>
              </a:p>
            </c:rich>
          </c:tx>
          <c:layout>
            <c:manualLayout>
              <c:xMode val="edge"/>
              <c:yMode val="edge"/>
              <c:x val="2.6415399919615647E-2"/>
              <c:y val="0.2631944085851667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b-NO"/>
          </a:p>
        </c:txPr>
        <c:crossAx val="58221227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sz="800"/>
      </a:pPr>
      <a:endParaRPr lang="nb-NO"/>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6161942</xdr:colOff>
      <xdr:row>2</xdr:row>
      <xdr:rowOff>220312</xdr:rowOff>
    </xdr:from>
    <xdr:to>
      <xdr:col>2</xdr:col>
      <xdr:colOff>204325</xdr:colOff>
      <xdr:row>4</xdr:row>
      <xdr:rowOff>184324</xdr:rowOff>
    </xdr:to>
    <xdr:pic>
      <xdr:nvPicPr>
        <xdr:cNvPr id="6" name="Picture 5">
          <a:extLst>
            <a:ext uri="{FF2B5EF4-FFF2-40B4-BE49-F238E27FC236}">
              <a16:creationId xmlns:a16="http://schemas.microsoft.com/office/drawing/2014/main" id="{A561EF58-28BB-4401-8515-1E756153C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117" y="687037"/>
          <a:ext cx="2168036" cy="455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6103327</xdr:colOff>
      <xdr:row>0</xdr:row>
      <xdr:rowOff>101776</xdr:rowOff>
    </xdr:from>
    <xdr:to>
      <xdr:col>2</xdr:col>
      <xdr:colOff>186813</xdr:colOff>
      <xdr:row>2</xdr:row>
      <xdr:rowOff>164445</xdr:rowOff>
    </xdr:to>
    <xdr:pic>
      <xdr:nvPicPr>
        <xdr:cNvPr id="7" name="Picture 6" descr="logo">
          <a:extLst>
            <a:ext uri="{FF2B5EF4-FFF2-40B4-BE49-F238E27FC236}">
              <a16:creationId xmlns:a16="http://schemas.microsoft.com/office/drawing/2014/main" id="{204C8982-AF65-410F-9434-09836166B6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60502" y="101776"/>
          <a:ext cx="2209139" cy="518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77849</xdr:colOff>
      <xdr:row>38</xdr:row>
      <xdr:rowOff>105104</xdr:rowOff>
    </xdr:from>
    <xdr:to>
      <xdr:col>4</xdr:col>
      <xdr:colOff>367863</xdr:colOff>
      <xdr:row>47</xdr:row>
      <xdr:rowOff>32844</xdr:rowOff>
    </xdr:to>
    <xdr:graphicFrame macro="">
      <xdr:nvGraphicFramePr>
        <xdr:cNvPr id="3" name="Chart 2">
          <a:extLst>
            <a:ext uri="{FF2B5EF4-FFF2-40B4-BE49-F238E27FC236}">
              <a16:creationId xmlns:a16="http://schemas.microsoft.com/office/drawing/2014/main" id="{7D16A245-5463-43F8-8557-F5288083E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15958</xdr:colOff>
      <xdr:row>60</xdr:row>
      <xdr:rowOff>175461</xdr:rowOff>
    </xdr:from>
    <xdr:to>
      <xdr:col>4</xdr:col>
      <xdr:colOff>355935</xdr:colOff>
      <xdr:row>69</xdr:row>
      <xdr:rowOff>109517</xdr:rowOff>
    </xdr:to>
    <xdr:graphicFrame macro="">
      <xdr:nvGraphicFramePr>
        <xdr:cNvPr id="4" name="Chart 3">
          <a:extLst>
            <a:ext uri="{FF2B5EF4-FFF2-40B4-BE49-F238E27FC236}">
              <a16:creationId xmlns:a16="http://schemas.microsoft.com/office/drawing/2014/main" id="{698ACF33-E149-45DB-9E15-FDACF0D3B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275897</xdr:colOff>
      <xdr:row>1</xdr:row>
      <xdr:rowOff>100122</xdr:rowOff>
    </xdr:from>
    <xdr:to>
      <xdr:col>9</xdr:col>
      <xdr:colOff>67989</xdr:colOff>
      <xdr:row>2</xdr:row>
      <xdr:rowOff>159699</xdr:rowOff>
    </xdr:to>
    <xdr:pic>
      <xdr:nvPicPr>
        <xdr:cNvPr id="5" name="Picture 4" descr="logo">
          <a:extLst>
            <a:ext uri="{FF2B5EF4-FFF2-40B4-BE49-F238E27FC236}">
              <a16:creationId xmlns:a16="http://schemas.microsoft.com/office/drawing/2014/main" id="{CEE6C055-E0BF-4307-834D-2855744C1D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23138" y="244639"/>
          <a:ext cx="1881023" cy="440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315312</xdr:colOff>
      <xdr:row>38</xdr:row>
      <xdr:rowOff>91965</xdr:rowOff>
    </xdr:from>
    <xdr:to>
      <xdr:col>8</xdr:col>
      <xdr:colOff>111673</xdr:colOff>
      <xdr:row>47</xdr:row>
      <xdr:rowOff>44624</xdr:rowOff>
    </xdr:to>
    <xdr:graphicFrame macro="">
      <xdr:nvGraphicFramePr>
        <xdr:cNvPr id="6" name="Chart 5">
          <a:extLst>
            <a:ext uri="{FF2B5EF4-FFF2-40B4-BE49-F238E27FC236}">
              <a16:creationId xmlns:a16="http://schemas.microsoft.com/office/drawing/2014/main" id="{72C09FB1-C0B1-41D3-A554-A91FCFD78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61714</xdr:colOff>
      <xdr:row>37</xdr:row>
      <xdr:rowOff>82286</xdr:rowOff>
    </xdr:from>
    <xdr:to>
      <xdr:col>8</xdr:col>
      <xdr:colOff>145381</xdr:colOff>
      <xdr:row>38</xdr:row>
      <xdr:rowOff>167680</xdr:rowOff>
    </xdr:to>
    <xdr:graphicFrame macro="">
      <xdr:nvGraphicFramePr>
        <xdr:cNvPr id="7" name="Chart 6">
          <a:extLst>
            <a:ext uri="{FF2B5EF4-FFF2-40B4-BE49-F238E27FC236}">
              <a16:creationId xmlns:a16="http://schemas.microsoft.com/office/drawing/2014/main" id="{04639FDB-8C95-435A-9900-372B418BF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155409</xdr:rowOff>
    </xdr:from>
    <xdr:to>
      <xdr:col>8</xdr:col>
      <xdr:colOff>10026</xdr:colOff>
      <xdr:row>60</xdr:row>
      <xdr:rowOff>170448</xdr:rowOff>
    </xdr:to>
    <xdr:graphicFrame macro="">
      <xdr:nvGraphicFramePr>
        <xdr:cNvPr id="8" name="Chart 7">
          <a:extLst>
            <a:ext uri="{FF2B5EF4-FFF2-40B4-BE49-F238E27FC236}">
              <a16:creationId xmlns:a16="http://schemas.microsoft.com/office/drawing/2014/main" id="{3C38016E-4384-437D-B59D-4988CDC9B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325855</xdr:colOff>
      <xdr:row>60</xdr:row>
      <xdr:rowOff>185486</xdr:rowOff>
    </xdr:from>
    <xdr:to>
      <xdr:col>8</xdr:col>
      <xdr:colOff>80210</xdr:colOff>
      <xdr:row>69</xdr:row>
      <xdr:rowOff>117081</xdr:rowOff>
    </xdr:to>
    <xdr:graphicFrame macro="">
      <xdr:nvGraphicFramePr>
        <xdr:cNvPr id="9" name="Chart 8">
          <a:extLst>
            <a:ext uri="{FF2B5EF4-FFF2-40B4-BE49-F238E27FC236}">
              <a16:creationId xmlns:a16="http://schemas.microsoft.com/office/drawing/2014/main" id="{29431E2A-74AB-4EA8-9C0B-7ED63227E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F19"/>
  <sheetViews>
    <sheetView showGridLines="0" tabSelected="1" topLeftCell="A26" zoomScale="115" zoomScaleNormal="115" workbookViewId="0">
      <selection activeCell="B35" sqref="B35"/>
    </sheetView>
  </sheetViews>
  <sheetFormatPr baseColWidth="10" defaultColWidth="8.7265625" defaultRowHeight="14.5" x14ac:dyDescent="0.35"/>
  <cols>
    <col min="1" max="1" width="3.81640625" customWidth="1"/>
    <col min="2" max="2" width="121.81640625" customWidth="1"/>
    <col min="3" max="3" width="4.1796875" customWidth="1"/>
  </cols>
  <sheetData>
    <row r="1" spans="1:6" x14ac:dyDescent="0.35">
      <c r="A1" s="129"/>
      <c r="B1" s="129"/>
      <c r="C1" s="129"/>
    </row>
    <row r="2" spans="1:6" ht="21" x14ac:dyDescent="0.5">
      <c r="A2" s="129"/>
      <c r="B2" s="362" t="s">
        <v>65</v>
      </c>
      <c r="C2" s="353"/>
      <c r="D2" s="353"/>
      <c r="E2" s="353"/>
      <c r="F2" s="353"/>
    </row>
    <row r="3" spans="1:6" ht="15.75" customHeight="1" x14ac:dyDescent="0.35">
      <c r="A3" s="129"/>
      <c r="B3" s="362"/>
      <c r="C3" s="129"/>
    </row>
    <row r="4" spans="1:6" ht="21.75" customHeight="1" x14ac:dyDescent="0.5">
      <c r="A4" s="129"/>
      <c r="B4" s="353" t="s">
        <v>324</v>
      </c>
      <c r="C4" s="129"/>
    </row>
    <row r="5" spans="1:6" ht="21.75" customHeight="1" thickBot="1" x14ac:dyDescent="0.4">
      <c r="A5" s="129"/>
      <c r="B5" s="129"/>
      <c r="C5" s="129"/>
    </row>
    <row r="6" spans="1:6" ht="15" thickBot="1" x14ac:dyDescent="0.4">
      <c r="A6" s="281"/>
      <c r="B6" s="281"/>
      <c r="C6" s="281"/>
    </row>
    <row r="7" spans="1:6" ht="174" x14ac:dyDescent="0.35">
      <c r="A7" s="213"/>
      <c r="B7" s="302" t="s">
        <v>327</v>
      </c>
      <c r="C7" s="213"/>
    </row>
    <row r="8" spans="1:6" x14ac:dyDescent="0.35">
      <c r="A8" s="213"/>
      <c r="B8" s="302"/>
      <c r="C8" s="213"/>
    </row>
    <row r="9" spans="1:6" ht="43.5" x14ac:dyDescent="0.35">
      <c r="A9" s="213"/>
      <c r="B9" s="302" t="s">
        <v>244</v>
      </c>
      <c r="C9" s="213"/>
    </row>
    <row r="10" spans="1:6" x14ac:dyDescent="0.35">
      <c r="A10" s="213"/>
      <c r="B10" s="213"/>
      <c r="C10" s="213"/>
    </row>
    <row r="11" spans="1:6" ht="204.75" customHeight="1" x14ac:dyDescent="0.35">
      <c r="A11" s="213"/>
      <c r="B11" s="241" t="s">
        <v>355</v>
      </c>
      <c r="C11" s="213"/>
    </row>
    <row r="12" spans="1:6" x14ac:dyDescent="0.35">
      <c r="A12" s="213"/>
      <c r="B12" s="241"/>
      <c r="C12" s="213"/>
    </row>
    <row r="13" spans="1:6" ht="116" x14ac:dyDescent="0.35">
      <c r="A13" s="213"/>
      <c r="B13" s="242" t="s">
        <v>245</v>
      </c>
      <c r="C13" s="213"/>
    </row>
    <row r="14" spans="1:6" x14ac:dyDescent="0.35">
      <c r="A14" s="213"/>
      <c r="B14" s="242"/>
      <c r="C14" s="213"/>
    </row>
    <row r="15" spans="1:6" x14ac:dyDescent="0.35">
      <c r="A15" s="213"/>
      <c r="B15" s="214" t="s">
        <v>243</v>
      </c>
      <c r="C15" s="213"/>
    </row>
    <row r="16" spans="1:6" ht="43.5" x14ac:dyDescent="0.35">
      <c r="A16" s="213"/>
      <c r="B16" s="303" t="s">
        <v>246</v>
      </c>
      <c r="C16" s="213"/>
    </row>
    <row r="17" spans="1:3" ht="15" thickBot="1" x14ac:dyDescent="0.4">
      <c r="A17" s="216"/>
      <c r="B17" s="216"/>
      <c r="C17" s="216"/>
    </row>
    <row r="18" spans="1:3" ht="15" thickBot="1" x14ac:dyDescent="0.4">
      <c r="A18" s="282"/>
      <c r="B18" s="282"/>
      <c r="C18" s="282"/>
    </row>
    <row r="19" spans="1:3" x14ac:dyDescent="0.35">
      <c r="A19" s="363" t="s">
        <v>366</v>
      </c>
      <c r="B19" s="363"/>
      <c r="C19" s="363"/>
    </row>
  </sheetData>
  <sheetProtection algorithmName="SHA-512" hashValue="PNUT4Ka+BcM1+eAi6DIi97ogJA6gO5qFm+ylzrFFcIydE2ROT1C5b+gZC1/UnVA45snOWmQH7pY4Foa7K5lb0w==" saltValue="rWZpNZwfOawlsULbknfaxQ==" spinCount="100000" sheet="1" objects="1" scenarios="1"/>
  <mergeCells count="2">
    <mergeCell ref="B2:B3"/>
    <mergeCell ref="A19:C19"/>
  </mergeCells>
  <pageMargins left="0.7" right="0.7"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S131"/>
  <sheetViews>
    <sheetView zoomScale="145" zoomScaleNormal="145" workbookViewId="0">
      <selection activeCell="C1" sqref="C1"/>
    </sheetView>
  </sheetViews>
  <sheetFormatPr baseColWidth="10" defaultColWidth="9.1796875" defaultRowHeight="13" x14ac:dyDescent="0.3"/>
  <cols>
    <col min="1" max="1" width="1.54296875" style="1" customWidth="1"/>
    <col min="2" max="2" width="3.453125" style="1" customWidth="1"/>
    <col min="3" max="3" width="16.453125" style="1" customWidth="1"/>
    <col min="4" max="4" width="12" style="1" customWidth="1"/>
    <col min="5" max="5" width="12.81640625" style="1" customWidth="1"/>
    <col min="6" max="6" width="12.54296875" style="1" customWidth="1"/>
    <col min="7" max="7" width="10.7265625" style="1" customWidth="1"/>
    <col min="8" max="8" width="4.26953125" style="1" customWidth="1"/>
    <col min="9" max="9" width="1.26953125" style="1" customWidth="1"/>
    <col min="10" max="10" width="4.26953125" style="1" customWidth="1"/>
    <col min="11" max="12" width="12.7265625" style="1" customWidth="1"/>
    <col min="13" max="13" width="14.1796875" style="1" customWidth="1"/>
    <col min="14" max="14" width="14.54296875" style="1" customWidth="1"/>
    <col min="15" max="15" width="5.7265625" style="1" customWidth="1"/>
    <col min="16" max="16" width="1" style="1" customWidth="1"/>
    <col min="17" max="16384" width="9.1796875" style="1"/>
  </cols>
  <sheetData>
    <row r="1" spans="1:16" ht="31.5" customHeight="1" x14ac:dyDescent="0.3">
      <c r="A1" s="235"/>
      <c r="B1" s="235" t="s">
        <v>316</v>
      </c>
      <c r="C1" s="235"/>
      <c r="D1" s="235"/>
      <c r="E1" s="235"/>
      <c r="F1" s="235"/>
      <c r="G1" s="235"/>
      <c r="H1" s="235"/>
      <c r="I1" s="235"/>
      <c r="J1" s="235"/>
      <c r="K1" s="235"/>
      <c r="L1" s="235"/>
      <c r="M1" s="235"/>
      <c r="N1" s="235"/>
      <c r="O1" s="235"/>
      <c r="P1" s="235"/>
    </row>
    <row r="2" spans="1:16" ht="10.5" customHeight="1" thickBot="1" x14ac:dyDescent="0.35">
      <c r="A2" s="381"/>
      <c r="B2" s="381"/>
      <c r="C2" s="381"/>
      <c r="D2" s="381"/>
      <c r="E2" s="381"/>
      <c r="F2" s="381"/>
      <c r="G2" s="381"/>
      <c r="H2" s="381"/>
      <c r="I2" s="381"/>
      <c r="J2" s="381"/>
      <c r="K2" s="381"/>
      <c r="L2" s="381"/>
      <c r="M2" s="381"/>
      <c r="N2" s="381"/>
      <c r="O2" s="381"/>
      <c r="P2" s="381"/>
    </row>
    <row r="3" spans="1:16" x14ac:dyDescent="0.3">
      <c r="A3" s="238"/>
      <c r="B3" s="3"/>
      <c r="C3" s="12"/>
      <c r="D3" s="3"/>
      <c r="E3" s="3"/>
      <c r="F3" s="3"/>
      <c r="G3" s="3"/>
      <c r="H3" s="3"/>
      <c r="I3" s="3"/>
      <c r="J3" s="3"/>
      <c r="K3" s="3"/>
      <c r="L3" s="3"/>
      <c r="M3" s="3"/>
      <c r="N3" s="3"/>
      <c r="O3" s="3"/>
      <c r="P3" s="16"/>
    </row>
    <row r="4" spans="1:16" ht="63" customHeight="1" x14ac:dyDescent="0.3">
      <c r="A4" s="238"/>
      <c r="B4" s="3"/>
      <c r="C4" s="387" t="s">
        <v>267</v>
      </c>
      <c r="D4" s="387"/>
      <c r="E4" s="387"/>
      <c r="F4" s="387"/>
      <c r="G4" s="387"/>
      <c r="H4" s="387"/>
      <c r="I4" s="387"/>
      <c r="J4" s="387"/>
      <c r="K4" s="387"/>
      <c r="L4" s="387"/>
      <c r="M4" s="387"/>
      <c r="N4" s="387"/>
      <c r="O4" s="13"/>
      <c r="P4" s="16"/>
    </row>
    <row r="5" spans="1:16" x14ac:dyDescent="0.3">
      <c r="A5" s="16"/>
      <c r="B5" s="16"/>
      <c r="C5" s="16"/>
      <c r="D5" s="16"/>
      <c r="E5" s="16"/>
      <c r="F5" s="16"/>
      <c r="G5" s="16"/>
      <c r="H5" s="16"/>
      <c r="I5" s="16"/>
      <c r="J5" s="16"/>
      <c r="K5" s="16"/>
      <c r="L5" s="16"/>
      <c r="M5" s="16"/>
      <c r="N5" s="16"/>
      <c r="O5" s="16"/>
      <c r="P5" s="16"/>
    </row>
    <row r="6" spans="1:16" x14ac:dyDescent="0.3">
      <c r="A6" s="238"/>
      <c r="B6" s="3"/>
      <c r="C6" s="3"/>
      <c r="D6" s="28"/>
      <c r="E6" s="28"/>
      <c r="F6" s="28"/>
      <c r="G6" s="28"/>
      <c r="H6" s="28"/>
      <c r="I6" s="28"/>
      <c r="J6" s="28"/>
      <c r="K6" s="28"/>
      <c r="L6" s="28"/>
      <c r="M6" s="28"/>
      <c r="N6" s="28"/>
      <c r="O6" s="13"/>
      <c r="P6" s="16"/>
    </row>
    <row r="7" spans="1:16" x14ac:dyDescent="0.3">
      <c r="A7" s="238"/>
      <c r="B7" s="3"/>
      <c r="C7" s="153" t="s">
        <v>331</v>
      </c>
      <c r="D7" s="28"/>
      <c r="E7" s="28"/>
      <c r="F7" s="28"/>
      <c r="G7" s="28"/>
      <c r="H7" s="28"/>
      <c r="I7" s="28"/>
      <c r="J7" s="28"/>
      <c r="K7" s="28"/>
      <c r="L7" s="28"/>
      <c r="M7" s="28"/>
      <c r="N7" s="28"/>
      <c r="O7" s="13"/>
      <c r="P7" s="16"/>
    </row>
    <row r="8" spans="1:16" x14ac:dyDescent="0.3">
      <c r="A8" s="238"/>
      <c r="B8" s="3"/>
      <c r="C8" s="153"/>
      <c r="D8" s="28"/>
      <c r="E8" s="28"/>
      <c r="F8" s="28"/>
      <c r="G8" s="28"/>
      <c r="H8" s="28"/>
      <c r="I8" s="28"/>
      <c r="J8" s="28"/>
      <c r="K8" s="28"/>
      <c r="L8" s="28"/>
      <c r="M8" s="28"/>
      <c r="N8" s="28"/>
      <c r="O8" s="13"/>
      <c r="P8" s="16"/>
    </row>
    <row r="9" spans="1:16" ht="27.75" customHeight="1" x14ac:dyDescent="0.3">
      <c r="A9" s="238"/>
      <c r="B9" s="3"/>
      <c r="C9" s="395" t="s">
        <v>185</v>
      </c>
      <c r="D9" s="395"/>
      <c r="E9" s="395"/>
      <c r="F9" s="395"/>
      <c r="G9" s="395"/>
      <c r="H9" s="395"/>
      <c r="I9" s="395"/>
      <c r="J9" s="395"/>
      <c r="K9" s="395"/>
      <c r="L9" s="395"/>
      <c r="M9" s="395"/>
      <c r="N9" s="28"/>
      <c r="O9" s="13"/>
      <c r="P9" s="16"/>
    </row>
    <row r="10" spans="1:16" ht="13.5" thickBot="1" x14ac:dyDescent="0.35">
      <c r="A10" s="238"/>
      <c r="B10" s="3"/>
      <c r="C10" s="197"/>
      <c r="D10" s="197"/>
      <c r="E10" s="197"/>
      <c r="F10" s="197"/>
      <c r="G10" s="197"/>
      <c r="H10" s="197"/>
      <c r="I10" s="197"/>
      <c r="J10" s="197"/>
      <c r="K10" s="197"/>
      <c r="L10" s="197"/>
      <c r="M10" s="197"/>
      <c r="N10" s="28"/>
      <c r="O10" s="13"/>
      <c r="P10" s="16"/>
    </row>
    <row r="11" spans="1:16" ht="16.5" customHeight="1" x14ac:dyDescent="0.3">
      <c r="A11" s="238"/>
      <c r="B11" s="3"/>
      <c r="C11" s="396" t="s">
        <v>219</v>
      </c>
      <c r="D11" s="397"/>
      <c r="E11" s="398" t="s">
        <v>218</v>
      </c>
      <c r="F11" s="399"/>
      <c r="G11" s="400"/>
      <c r="H11" s="3"/>
      <c r="I11" s="3"/>
      <c r="J11" s="3"/>
      <c r="K11" s="3"/>
      <c r="L11" s="3"/>
      <c r="M11" s="3"/>
      <c r="N11" s="28"/>
      <c r="O11" s="13"/>
      <c r="P11" s="16"/>
    </row>
    <row r="12" spans="1:16" ht="18" customHeight="1" thickBot="1" x14ac:dyDescent="0.35">
      <c r="A12" s="238"/>
      <c r="B12" s="3"/>
      <c r="C12" s="228" t="s">
        <v>220</v>
      </c>
      <c r="D12" s="229"/>
      <c r="E12" s="401" t="s">
        <v>221</v>
      </c>
      <c r="F12" s="402"/>
      <c r="G12" s="403"/>
      <c r="H12" s="3"/>
      <c r="I12" s="3"/>
      <c r="J12" s="3"/>
      <c r="K12" s="3"/>
      <c r="L12" s="3"/>
      <c r="M12" s="3"/>
      <c r="N12" s="28"/>
      <c r="O12" s="13"/>
      <c r="P12" s="16"/>
    </row>
    <row r="13" spans="1:16" ht="13.5" thickBot="1" x14ac:dyDescent="0.35">
      <c r="A13" s="238"/>
      <c r="B13" s="3"/>
      <c r="C13" s="142"/>
      <c r="D13" s="142"/>
      <c r="E13" s="28"/>
      <c r="F13" s="28"/>
      <c r="G13" s="28"/>
      <c r="H13" s="28"/>
      <c r="I13" s="28"/>
      <c r="J13" s="28"/>
      <c r="K13" s="28"/>
      <c r="L13" s="28"/>
      <c r="M13" s="28"/>
      <c r="N13" s="28"/>
      <c r="O13" s="13"/>
      <c r="P13" s="16"/>
    </row>
    <row r="14" spans="1:16" ht="26" x14ac:dyDescent="0.3">
      <c r="A14" s="238"/>
      <c r="B14" s="3"/>
      <c r="C14" s="392" t="s">
        <v>169</v>
      </c>
      <c r="D14" s="393"/>
      <c r="E14" s="393"/>
      <c r="F14" s="394"/>
      <c r="G14" s="66" t="s">
        <v>305</v>
      </c>
      <c r="H14" s="28"/>
      <c r="I14" s="28"/>
      <c r="J14" s="28"/>
      <c r="K14" s="183"/>
      <c r="L14" s="28"/>
      <c r="M14" s="28"/>
      <c r="N14" s="28"/>
      <c r="O14" s="13"/>
      <c r="P14" s="16"/>
    </row>
    <row r="15" spans="1:16" x14ac:dyDescent="0.3">
      <c r="A15" s="238"/>
      <c r="B15" s="3"/>
      <c r="C15" s="8" t="s">
        <v>123</v>
      </c>
      <c r="D15" s="390" t="s">
        <v>138</v>
      </c>
      <c r="E15" s="390"/>
      <c r="F15" s="391"/>
      <c r="G15" s="338"/>
      <c r="H15" s="28"/>
      <c r="I15" s="28"/>
      <c r="J15" s="28"/>
      <c r="K15" s="184"/>
      <c r="L15" s="28"/>
      <c r="M15" s="28"/>
      <c r="N15" s="28"/>
      <c r="O15" s="13"/>
      <c r="P15" s="16"/>
    </row>
    <row r="16" spans="1:16" x14ac:dyDescent="0.3">
      <c r="A16" s="238"/>
      <c r="B16" s="3"/>
      <c r="C16" s="8" t="s">
        <v>112</v>
      </c>
      <c r="D16" s="390" t="s">
        <v>137</v>
      </c>
      <c r="E16" s="390"/>
      <c r="F16" s="391"/>
      <c r="G16" s="338"/>
      <c r="H16" s="28"/>
      <c r="I16" s="28"/>
      <c r="J16" s="28"/>
      <c r="K16" s="28"/>
      <c r="L16" s="28"/>
      <c r="M16" s="28"/>
      <c r="N16" s="28"/>
      <c r="O16" s="13"/>
      <c r="P16" s="16"/>
    </row>
    <row r="17" spans="1:19" x14ac:dyDescent="0.3">
      <c r="A17" s="238"/>
      <c r="B17" s="3"/>
      <c r="C17" s="8" t="s">
        <v>121</v>
      </c>
      <c r="D17" s="390" t="s">
        <v>139</v>
      </c>
      <c r="E17" s="390"/>
      <c r="F17" s="391"/>
      <c r="G17" s="338"/>
      <c r="H17" s="28"/>
      <c r="I17" s="28"/>
      <c r="J17" s="28"/>
      <c r="K17" s="28"/>
      <c r="L17" s="28"/>
      <c r="M17" s="28"/>
      <c r="N17" s="28"/>
      <c r="O17" s="13"/>
      <c r="P17" s="16"/>
    </row>
    <row r="18" spans="1:19" x14ac:dyDescent="0.3">
      <c r="A18" s="238"/>
      <c r="B18" s="3"/>
      <c r="C18" s="8" t="s">
        <v>111</v>
      </c>
      <c r="D18" s="390" t="s">
        <v>136</v>
      </c>
      <c r="E18" s="390"/>
      <c r="F18" s="391"/>
      <c r="G18" s="338"/>
      <c r="H18" s="28"/>
      <c r="I18" s="28"/>
      <c r="J18" s="28"/>
      <c r="K18" s="28"/>
      <c r="L18" s="28"/>
      <c r="M18" s="28"/>
      <c r="N18" s="28"/>
      <c r="O18" s="13"/>
      <c r="P18" s="16"/>
    </row>
    <row r="19" spans="1:19" x14ac:dyDescent="0.3">
      <c r="A19" s="238"/>
      <c r="B19" s="3"/>
      <c r="C19" s="200" t="s">
        <v>182</v>
      </c>
      <c r="D19" s="390" t="s">
        <v>184</v>
      </c>
      <c r="E19" s="390"/>
      <c r="F19" s="391"/>
      <c r="G19" s="339"/>
      <c r="H19" s="28"/>
      <c r="I19" s="28"/>
      <c r="J19" s="28"/>
      <c r="K19" s="28"/>
      <c r="L19" s="28"/>
      <c r="M19" s="28"/>
      <c r="N19" s="28"/>
      <c r="O19" s="13"/>
      <c r="P19" s="16"/>
    </row>
    <row r="20" spans="1:19" ht="13.5" thickBot="1" x14ac:dyDescent="0.35">
      <c r="A20" s="238"/>
      <c r="B20" s="3"/>
      <c r="C20" s="156" t="s">
        <v>122</v>
      </c>
      <c r="D20" s="388" t="s">
        <v>140</v>
      </c>
      <c r="E20" s="388"/>
      <c r="F20" s="389"/>
      <c r="G20" s="340"/>
      <c r="H20" s="28"/>
      <c r="I20" s="28"/>
      <c r="J20" s="28"/>
      <c r="K20" s="28"/>
      <c r="L20" s="28"/>
      <c r="M20" s="28"/>
      <c r="N20" s="28"/>
      <c r="O20" s="13"/>
      <c r="P20" s="16"/>
    </row>
    <row r="21" spans="1:19" ht="12" customHeight="1" x14ac:dyDescent="0.3">
      <c r="A21" s="238"/>
      <c r="B21" s="3"/>
      <c r="C21" s="28"/>
      <c r="D21" s="28"/>
      <c r="E21" s="28"/>
      <c r="F21" s="28"/>
      <c r="G21" s="28"/>
      <c r="H21" s="28"/>
      <c r="I21" s="28"/>
      <c r="J21" s="28"/>
      <c r="K21" s="28"/>
      <c r="L21" s="28"/>
      <c r="M21" s="28"/>
      <c r="N21" s="28"/>
      <c r="O21" s="13"/>
      <c r="P21" s="16"/>
    </row>
    <row r="22" spans="1:19" x14ac:dyDescent="0.3">
      <c r="A22" s="238"/>
      <c r="B22" s="3"/>
      <c r="C22" s="28"/>
      <c r="D22" s="28"/>
      <c r="E22" s="28"/>
      <c r="F22" s="28"/>
      <c r="G22" s="28"/>
      <c r="H22" s="28"/>
      <c r="I22" s="28"/>
      <c r="J22" s="28"/>
      <c r="K22" s="28"/>
      <c r="L22" s="28"/>
      <c r="M22" s="28"/>
      <c r="N22" s="28"/>
      <c r="O22" s="13"/>
      <c r="P22" s="16"/>
    </row>
    <row r="23" spans="1:19" x14ac:dyDescent="0.3">
      <c r="A23" s="16"/>
      <c r="B23" s="16"/>
      <c r="C23" s="16"/>
      <c r="D23" s="16"/>
      <c r="E23" s="16"/>
      <c r="F23" s="16"/>
      <c r="G23" s="16"/>
      <c r="H23" s="16"/>
      <c r="I23" s="16"/>
      <c r="J23" s="16"/>
      <c r="K23" s="16"/>
      <c r="L23" s="16"/>
      <c r="M23" s="16"/>
      <c r="N23" s="16"/>
      <c r="O23" s="16"/>
      <c r="P23" s="16"/>
    </row>
    <row r="24" spans="1:19" x14ac:dyDescent="0.3">
      <c r="A24" s="233"/>
      <c r="B24" s="61"/>
      <c r="C24" s="61"/>
      <c r="D24" s="61"/>
      <c r="E24" s="61"/>
      <c r="F24" s="61"/>
      <c r="G24" s="61"/>
      <c r="H24" s="61"/>
      <c r="I24" s="239"/>
      <c r="J24" s="35"/>
      <c r="K24" s="35"/>
      <c r="L24" s="35"/>
      <c r="M24" s="35"/>
      <c r="N24" s="35"/>
      <c r="O24" s="35"/>
      <c r="P24" s="16"/>
    </row>
    <row r="25" spans="1:19" ht="24.75" customHeight="1" x14ac:dyDescent="0.3">
      <c r="A25" s="233"/>
      <c r="B25" s="61"/>
      <c r="C25" s="62" t="s">
        <v>332</v>
      </c>
      <c r="D25" s="61"/>
      <c r="E25" s="61"/>
      <c r="F25" s="61"/>
      <c r="G25" s="61"/>
      <c r="H25" s="61"/>
      <c r="I25" s="239"/>
      <c r="J25" s="35"/>
      <c r="K25" s="55" t="s">
        <v>47</v>
      </c>
      <c r="L25" s="35"/>
      <c r="M25" s="35"/>
      <c r="N25" s="35"/>
      <c r="O25" s="35"/>
      <c r="P25" s="16"/>
    </row>
    <row r="26" spans="1:19" ht="64.5" customHeight="1" x14ac:dyDescent="0.3">
      <c r="A26" s="233"/>
      <c r="B26" s="61"/>
      <c r="C26" s="364" t="s">
        <v>312</v>
      </c>
      <c r="D26" s="364"/>
      <c r="E26" s="364"/>
      <c r="F26" s="364"/>
      <c r="G26" s="364"/>
      <c r="H26" s="63"/>
      <c r="I26" s="240"/>
      <c r="J26" s="36"/>
      <c r="K26" s="377" t="s">
        <v>200</v>
      </c>
      <c r="L26" s="377"/>
      <c r="M26" s="377"/>
      <c r="N26" s="377"/>
      <c r="O26" s="35"/>
      <c r="P26" s="16"/>
    </row>
    <row r="27" spans="1:19" ht="13.5" thickBot="1" x14ac:dyDescent="0.35">
      <c r="A27" s="233"/>
      <c r="B27" s="61"/>
      <c r="C27" s="61"/>
      <c r="D27" s="61"/>
      <c r="E27" s="61"/>
      <c r="F27" s="61"/>
      <c r="G27" s="185"/>
      <c r="H27" s="61"/>
      <c r="I27" s="239"/>
      <c r="J27" s="35"/>
      <c r="K27" s="38"/>
      <c r="L27" s="38"/>
      <c r="M27" s="38"/>
      <c r="N27" s="38"/>
      <c r="O27" s="35"/>
      <c r="P27" s="16"/>
    </row>
    <row r="28" spans="1:19" ht="24" customHeight="1" x14ac:dyDescent="0.3">
      <c r="A28" s="233"/>
      <c r="B28" s="61"/>
      <c r="C28" s="410"/>
      <c r="D28" s="411"/>
      <c r="E28" s="66" t="s">
        <v>369</v>
      </c>
      <c r="F28" s="61"/>
      <c r="G28" s="185"/>
      <c r="H28" s="61"/>
      <c r="I28" s="239"/>
      <c r="J28" s="420" t="s">
        <v>228</v>
      </c>
      <c r="K28" s="420"/>
      <c r="L28" s="421"/>
      <c r="M28" s="343">
        <v>0</v>
      </c>
      <c r="N28" s="37"/>
      <c r="O28" s="35"/>
      <c r="P28" s="16"/>
      <c r="Q28" s="2"/>
    </row>
    <row r="29" spans="1:19" ht="12.75" customHeight="1" x14ac:dyDescent="0.3">
      <c r="A29" s="233"/>
      <c r="B29" s="61"/>
      <c r="C29" s="408" t="s">
        <v>171</v>
      </c>
      <c r="D29" s="409"/>
      <c r="E29" s="341"/>
      <c r="F29" s="61"/>
      <c r="G29" s="185"/>
      <c r="H29" s="61"/>
      <c r="I29" s="239"/>
      <c r="J29" s="35"/>
      <c r="K29" s="38"/>
      <c r="L29" s="38"/>
      <c r="M29" s="38"/>
      <c r="N29" s="38"/>
      <c r="O29" s="35"/>
      <c r="P29" s="16"/>
      <c r="S29" s="2"/>
    </row>
    <row r="30" spans="1:19" x14ac:dyDescent="0.3">
      <c r="A30" s="233"/>
      <c r="B30" s="61"/>
      <c r="C30" s="408" t="s">
        <v>170</v>
      </c>
      <c r="D30" s="409"/>
      <c r="E30" s="341"/>
      <c r="F30" s="61"/>
      <c r="G30" s="185"/>
      <c r="H30" s="61"/>
      <c r="I30" s="239"/>
      <c r="J30" s="35"/>
      <c r="K30" s="38"/>
      <c r="L30" s="38"/>
      <c r="M30" s="38"/>
      <c r="N30" s="38"/>
      <c r="O30" s="35"/>
      <c r="P30" s="16"/>
    </row>
    <row r="31" spans="1:19" ht="12.75" customHeight="1" x14ac:dyDescent="0.3">
      <c r="A31" s="233"/>
      <c r="B31" s="61"/>
      <c r="C31" s="408" t="s">
        <v>172</v>
      </c>
      <c r="D31" s="409"/>
      <c r="E31" s="341"/>
      <c r="F31" s="61"/>
      <c r="G31" s="185"/>
      <c r="H31" s="61"/>
      <c r="I31" s="239"/>
      <c r="J31" s="35"/>
      <c r="K31" s="368" t="s">
        <v>49</v>
      </c>
      <c r="L31" s="368"/>
      <c r="M31" s="368"/>
      <c r="N31" s="368"/>
      <c r="O31" s="35"/>
      <c r="P31" s="16"/>
    </row>
    <row r="32" spans="1:19" ht="14.25" customHeight="1" x14ac:dyDescent="0.3">
      <c r="A32" s="233"/>
      <c r="B32" s="61"/>
      <c r="C32" s="408" t="s">
        <v>173</v>
      </c>
      <c r="D32" s="409"/>
      <c r="E32" s="341"/>
      <c r="F32" s="61"/>
      <c r="G32" s="185"/>
      <c r="H32" s="61"/>
      <c r="I32" s="239"/>
      <c r="J32" s="35"/>
      <c r="K32" s="368"/>
      <c r="L32" s="368"/>
      <c r="M32" s="368"/>
      <c r="N32" s="368"/>
      <c r="O32" s="35"/>
      <c r="P32" s="16"/>
    </row>
    <row r="33" spans="1:16" ht="12.75" customHeight="1" x14ac:dyDescent="0.3">
      <c r="A33" s="233"/>
      <c r="B33" s="61"/>
      <c r="C33" s="406" t="s">
        <v>174</v>
      </c>
      <c r="D33" s="407"/>
      <c r="E33" s="341"/>
      <c r="F33" s="61"/>
      <c r="G33" s="185"/>
      <c r="H33" s="61"/>
      <c r="I33" s="239"/>
      <c r="J33" s="35"/>
      <c r="K33" s="368"/>
      <c r="L33" s="368"/>
      <c r="M33" s="368"/>
      <c r="N33" s="368"/>
      <c r="O33" s="35"/>
      <c r="P33" s="16"/>
    </row>
    <row r="34" spans="1:16" ht="13.5" thickBot="1" x14ac:dyDescent="0.35">
      <c r="A34" s="233"/>
      <c r="B34" s="61"/>
      <c r="C34" s="404" t="s">
        <v>175</v>
      </c>
      <c r="D34" s="405"/>
      <c r="E34" s="342"/>
      <c r="F34" s="61"/>
      <c r="G34" s="185"/>
      <c r="H34" s="61"/>
      <c r="I34" s="239"/>
      <c r="J34" s="35"/>
      <c r="K34" s="368"/>
      <c r="L34" s="368"/>
      <c r="M34" s="368"/>
      <c r="N34" s="368"/>
      <c r="O34" s="35"/>
      <c r="P34" s="16"/>
    </row>
    <row r="35" spans="1:16" ht="13.5" customHeight="1" thickBot="1" x14ac:dyDescent="0.35">
      <c r="A35" s="233"/>
      <c r="B35" s="61"/>
      <c r="C35" s="404" t="s">
        <v>186</v>
      </c>
      <c r="D35" s="405"/>
      <c r="E35" s="351">
        <f>SUM(E29:E34)</f>
        <v>0</v>
      </c>
      <c r="F35" s="61"/>
      <c r="G35" s="61"/>
      <c r="H35" s="61"/>
      <c r="I35" s="239"/>
      <c r="J35" s="35"/>
      <c r="K35" s="36"/>
      <c r="L35" s="36"/>
      <c r="M35" s="36"/>
      <c r="N35" s="36"/>
      <c r="O35" s="35"/>
      <c r="P35" s="16"/>
    </row>
    <row r="36" spans="1:16" ht="27.75" customHeight="1" x14ac:dyDescent="0.3">
      <c r="A36" s="233"/>
      <c r="B36" s="61"/>
      <c r="C36" s="61"/>
      <c r="D36" s="61"/>
      <c r="E36" s="61"/>
      <c r="F36" s="61"/>
      <c r="G36" s="61"/>
      <c r="H36" s="61"/>
      <c r="I36" s="239"/>
      <c r="J36" s="35"/>
      <c r="K36" s="37"/>
      <c r="L36" s="116" t="s">
        <v>50</v>
      </c>
      <c r="M36" s="344" t="s">
        <v>46</v>
      </c>
      <c r="N36" s="36"/>
      <c r="O36" s="35"/>
      <c r="P36" s="16"/>
    </row>
    <row r="37" spans="1:16" ht="21.75" customHeight="1" thickBot="1" x14ac:dyDescent="0.35">
      <c r="A37" s="233"/>
      <c r="B37" s="61"/>
      <c r="C37" s="386"/>
      <c r="D37" s="386"/>
      <c r="E37" s="386"/>
      <c r="F37" s="386"/>
      <c r="G37" s="386"/>
      <c r="H37" s="61"/>
      <c r="I37" s="239"/>
      <c r="J37" s="35"/>
      <c r="K37" s="35"/>
      <c r="L37" s="35"/>
      <c r="M37" s="35"/>
      <c r="N37" s="35"/>
      <c r="O37" s="35"/>
      <c r="P37" s="16"/>
    </row>
    <row r="38" spans="1:16" ht="13.5" thickBot="1" x14ac:dyDescent="0.35">
      <c r="A38" s="233"/>
      <c r="B38" s="61"/>
      <c r="C38" s="64"/>
      <c r="D38" s="64"/>
      <c r="E38" s="65" t="s">
        <v>300</v>
      </c>
      <c r="F38" s="295">
        <f>'Forutsetninger og beregninger'!J34</f>
        <v>0</v>
      </c>
      <c r="G38" s="294" t="s">
        <v>364</v>
      </c>
      <c r="H38" s="61"/>
      <c r="I38" s="239"/>
      <c r="J38" s="35"/>
      <c r="K38" s="35"/>
      <c r="L38" s="39" t="s">
        <v>300</v>
      </c>
      <c r="M38" s="296">
        <f>'Forutsetninger og beregninger'!H65</f>
        <v>0</v>
      </c>
      <c r="N38" s="292" t="s">
        <v>364</v>
      </c>
      <c r="O38" s="35"/>
      <c r="P38" s="16"/>
    </row>
    <row r="39" spans="1:16" ht="13.5" thickBot="1" x14ac:dyDescent="0.35">
      <c r="A39" s="233"/>
      <c r="B39" s="61"/>
      <c r="C39" s="61"/>
      <c r="D39" s="61"/>
      <c r="E39" s="61"/>
      <c r="F39" s="61"/>
      <c r="G39" s="61"/>
      <c r="H39" s="61"/>
      <c r="I39" s="239"/>
      <c r="J39" s="35"/>
      <c r="K39" s="35"/>
      <c r="L39" s="39" t="s">
        <v>51</v>
      </c>
      <c r="M39" s="293" t="e">
        <f>1-(M38/F38)</f>
        <v>#DIV/0!</v>
      </c>
      <c r="N39" s="292"/>
      <c r="O39" s="35"/>
      <c r="P39" s="16"/>
    </row>
    <row r="40" spans="1:16" x14ac:dyDescent="0.3">
      <c r="A40" s="233"/>
      <c r="B40" s="61"/>
      <c r="C40" s="61"/>
      <c r="D40" s="61"/>
      <c r="E40" s="61"/>
      <c r="F40" s="61"/>
      <c r="G40" s="61"/>
      <c r="H40" s="61"/>
      <c r="I40" s="239"/>
      <c r="J40" s="35"/>
      <c r="K40" s="35"/>
      <c r="L40" s="39"/>
      <c r="M40" s="35"/>
      <c r="N40" s="35"/>
      <c r="O40" s="35"/>
      <c r="P40" s="16"/>
    </row>
    <row r="41" spans="1:16" x14ac:dyDescent="0.3">
      <c r="A41" s="16"/>
      <c r="B41" s="16"/>
      <c r="C41" s="16"/>
      <c r="D41" s="16"/>
      <c r="E41" s="16"/>
      <c r="F41" s="16"/>
      <c r="G41" s="16"/>
      <c r="H41" s="16"/>
      <c r="I41" s="16"/>
      <c r="J41" s="16"/>
      <c r="K41" s="16"/>
      <c r="L41" s="16"/>
      <c r="M41" s="16"/>
      <c r="N41" s="16"/>
      <c r="O41" s="16"/>
      <c r="P41" s="16"/>
    </row>
    <row r="42" spans="1:16" x14ac:dyDescent="0.3">
      <c r="A42" s="232"/>
      <c r="B42" s="61"/>
      <c r="C42" s="61"/>
      <c r="D42" s="61"/>
      <c r="E42" s="61"/>
      <c r="F42" s="61"/>
      <c r="G42" s="61"/>
      <c r="H42" s="61"/>
      <c r="I42" s="239"/>
      <c r="J42" s="35"/>
      <c r="K42" s="35"/>
      <c r="L42" s="35"/>
      <c r="M42" s="35"/>
      <c r="N42" s="35"/>
      <c r="O42" s="35"/>
      <c r="P42" s="16"/>
    </row>
    <row r="43" spans="1:16" ht="24.75" customHeight="1" x14ac:dyDescent="0.3">
      <c r="A43" s="233"/>
      <c r="B43" s="61"/>
      <c r="C43" s="62" t="s">
        <v>52</v>
      </c>
      <c r="D43" s="61"/>
      <c r="E43" s="61"/>
      <c r="F43" s="61"/>
      <c r="G43" s="61"/>
      <c r="H43" s="61"/>
      <c r="I43" s="239"/>
      <c r="J43" s="35"/>
      <c r="K43" s="55" t="s">
        <v>53</v>
      </c>
      <c r="L43" s="35"/>
      <c r="M43" s="35"/>
      <c r="N43" s="35"/>
      <c r="O43" s="35"/>
      <c r="P43" s="16"/>
    </row>
    <row r="44" spans="1:16" ht="30" customHeight="1" x14ac:dyDescent="0.3">
      <c r="A44" s="233"/>
      <c r="B44" s="61"/>
      <c r="C44" s="380" t="s">
        <v>342</v>
      </c>
      <c r="D44" s="380"/>
      <c r="E44" s="380"/>
      <c r="F44" s="380"/>
      <c r="G44" s="380"/>
      <c r="H44" s="61"/>
      <c r="I44" s="239"/>
      <c r="J44" s="35"/>
      <c r="K44" s="377" t="s">
        <v>370</v>
      </c>
      <c r="L44" s="377"/>
      <c r="M44" s="377"/>
      <c r="N44" s="377"/>
      <c r="O44" s="35"/>
      <c r="P44" s="16"/>
    </row>
    <row r="45" spans="1:16" ht="23.25" customHeight="1" x14ac:dyDescent="0.3">
      <c r="A45" s="233"/>
      <c r="B45" s="61"/>
      <c r="C45" s="380"/>
      <c r="D45" s="380"/>
      <c r="E45" s="380"/>
      <c r="F45" s="380"/>
      <c r="G45" s="380"/>
      <c r="H45" s="61"/>
      <c r="I45" s="239"/>
      <c r="J45" s="35"/>
      <c r="K45" s="377"/>
      <c r="L45" s="377"/>
      <c r="M45" s="377"/>
      <c r="N45" s="377"/>
      <c r="O45" s="35"/>
      <c r="P45" s="16"/>
    </row>
    <row r="46" spans="1:16" ht="21" customHeight="1" thickBot="1" x14ac:dyDescent="0.35">
      <c r="A46" s="233"/>
      <c r="B46" s="61"/>
      <c r="C46" s="358"/>
      <c r="D46" s="358"/>
      <c r="E46" s="358"/>
      <c r="F46" s="358"/>
      <c r="G46" s="358"/>
      <c r="H46" s="61"/>
      <c r="I46" s="239"/>
      <c r="J46" s="35"/>
      <c r="K46" s="378" t="s">
        <v>227</v>
      </c>
      <c r="L46" s="379"/>
      <c r="M46" s="345">
        <v>0</v>
      </c>
      <c r="N46" s="43"/>
      <c r="O46" s="44"/>
      <c r="P46" s="67"/>
    </row>
    <row r="47" spans="1:16" ht="24" customHeight="1" thickBot="1" x14ac:dyDescent="0.35">
      <c r="A47" s="233"/>
      <c r="B47" s="61"/>
      <c r="C47" s="384" t="s">
        <v>367</v>
      </c>
      <c r="D47" s="385"/>
      <c r="E47" s="417"/>
      <c r="F47" s="418"/>
      <c r="G47" s="419"/>
      <c r="H47" s="61"/>
      <c r="I47" s="239"/>
      <c r="J47" s="35"/>
      <c r="K47" s="35"/>
      <c r="L47" s="68" t="s">
        <v>66</v>
      </c>
      <c r="M47" s="72">
        <f>E47-(M46*E47)</f>
        <v>0</v>
      </c>
      <c r="N47" s="73" t="s">
        <v>368</v>
      </c>
      <c r="O47" s="35"/>
      <c r="P47" s="16"/>
    </row>
    <row r="48" spans="1:16" x14ac:dyDescent="0.3">
      <c r="A48" s="233"/>
      <c r="B48" s="61"/>
      <c r="C48" s="61"/>
      <c r="D48" s="61"/>
      <c r="E48" s="61"/>
      <c r="F48" s="61"/>
      <c r="G48" s="61"/>
      <c r="H48" s="61"/>
      <c r="I48" s="239"/>
      <c r="J48" s="35"/>
      <c r="K48" s="36"/>
      <c r="L48" s="36"/>
      <c r="M48" s="36"/>
      <c r="N48" s="36"/>
      <c r="O48" s="35"/>
      <c r="P48" s="16"/>
    </row>
    <row r="49" spans="1:16" ht="56.25" customHeight="1" x14ac:dyDescent="0.3">
      <c r="A49" s="233"/>
      <c r="B49" s="61"/>
      <c r="C49" s="61"/>
      <c r="D49" s="61"/>
      <c r="E49" s="61"/>
      <c r="F49" s="61"/>
      <c r="G49" s="61"/>
      <c r="H49" s="61"/>
      <c r="I49" s="239"/>
      <c r="J49" s="35"/>
      <c r="K49" s="368" t="s">
        <v>84</v>
      </c>
      <c r="L49" s="368"/>
      <c r="M49" s="368"/>
      <c r="N49" s="368"/>
      <c r="O49" s="35"/>
      <c r="P49" s="16"/>
    </row>
    <row r="50" spans="1:16" x14ac:dyDescent="0.3">
      <c r="A50" s="233"/>
      <c r="B50" s="61"/>
      <c r="C50" s="61"/>
      <c r="D50" s="61"/>
      <c r="E50" s="61"/>
      <c r="F50" s="61"/>
      <c r="G50" s="61"/>
      <c r="H50" s="61"/>
      <c r="I50" s="239"/>
      <c r="J50" s="35"/>
      <c r="K50" s="42"/>
      <c r="L50" s="42"/>
      <c r="M50" s="42"/>
      <c r="N50" s="42"/>
      <c r="O50" s="35"/>
      <c r="P50" s="16"/>
    </row>
    <row r="51" spans="1:16" ht="25.5" customHeight="1" x14ac:dyDescent="0.3">
      <c r="A51" s="233"/>
      <c r="B51" s="61"/>
      <c r="C51" s="61"/>
      <c r="D51" s="61"/>
      <c r="E51" s="61"/>
      <c r="F51" s="61"/>
      <c r="G51" s="61"/>
      <c r="H51" s="61"/>
      <c r="I51" s="239"/>
      <c r="J51" s="35"/>
      <c r="K51" s="378" t="s">
        <v>28</v>
      </c>
      <c r="L51" s="379"/>
      <c r="M51" s="365" t="s">
        <v>78</v>
      </c>
      <c r="N51" s="366"/>
      <c r="O51" s="35"/>
      <c r="P51" s="16"/>
    </row>
    <row r="52" spans="1:16" ht="13.5" thickBot="1" x14ac:dyDescent="0.35">
      <c r="A52" s="233"/>
      <c r="B52" s="61"/>
      <c r="C52" s="61"/>
      <c r="D52" s="61"/>
      <c r="E52" s="61"/>
      <c r="F52" s="61"/>
      <c r="G52" s="61"/>
      <c r="H52" s="61"/>
      <c r="I52" s="239"/>
      <c r="J52" s="35"/>
      <c r="K52" s="42"/>
      <c r="L52" s="42"/>
      <c r="M52" s="42"/>
      <c r="N52" s="42"/>
      <c r="O52" s="35"/>
      <c r="P52" s="16"/>
    </row>
    <row r="53" spans="1:16" ht="13.5" thickBot="1" x14ac:dyDescent="0.35">
      <c r="A53" s="233"/>
      <c r="B53" s="61"/>
      <c r="C53" s="64"/>
      <c r="D53" s="64"/>
      <c r="E53" s="65" t="s">
        <v>300</v>
      </c>
      <c r="F53" s="295">
        <f>'Forutsetninger og beregninger'!G75</f>
        <v>0</v>
      </c>
      <c r="G53" s="294" t="s">
        <v>365</v>
      </c>
      <c r="H53" s="61"/>
      <c r="I53" s="239"/>
      <c r="J53" s="35"/>
      <c r="K53" s="35"/>
      <c r="L53" s="39" t="s">
        <v>300</v>
      </c>
      <c r="M53" s="296">
        <f>'Forutsetninger og beregninger'!K80</f>
        <v>0</v>
      </c>
      <c r="N53" s="292" t="s">
        <v>364</v>
      </c>
      <c r="O53" s="35"/>
      <c r="P53" s="16"/>
    </row>
    <row r="54" spans="1:16" ht="13.5" thickBot="1" x14ac:dyDescent="0.35">
      <c r="A54" s="233"/>
      <c r="B54" s="61"/>
      <c r="C54" s="61"/>
      <c r="D54" s="61"/>
      <c r="E54" s="61"/>
      <c r="F54" s="61"/>
      <c r="G54" s="61"/>
      <c r="H54" s="61"/>
      <c r="I54" s="239"/>
      <c r="J54" s="35"/>
      <c r="K54" s="35"/>
      <c r="L54" s="39" t="s">
        <v>51</v>
      </c>
      <c r="M54" s="293" t="e">
        <f>1-(M53/F53)</f>
        <v>#DIV/0!</v>
      </c>
      <c r="N54" s="292"/>
      <c r="O54" s="35"/>
      <c r="P54" s="16"/>
    </row>
    <row r="55" spans="1:16" x14ac:dyDescent="0.3">
      <c r="A55" s="233"/>
      <c r="B55" s="61"/>
      <c r="C55" s="61"/>
      <c r="D55" s="61"/>
      <c r="E55" s="61"/>
      <c r="F55" s="61"/>
      <c r="G55" s="61"/>
      <c r="H55" s="61"/>
      <c r="I55" s="239"/>
      <c r="J55" s="35"/>
      <c r="K55" s="35"/>
      <c r="L55" s="39"/>
      <c r="M55" s="35"/>
      <c r="N55" s="35"/>
      <c r="O55" s="35"/>
      <c r="P55" s="16"/>
    </row>
    <row r="56" spans="1:16" x14ac:dyDescent="0.3">
      <c r="A56" s="16"/>
      <c r="B56" s="16"/>
      <c r="C56" s="16"/>
      <c r="D56" s="16"/>
      <c r="E56" s="16"/>
      <c r="F56" s="16"/>
      <c r="G56" s="16"/>
      <c r="H56" s="16"/>
      <c r="I56" s="16"/>
      <c r="J56" s="16"/>
      <c r="K56" s="16"/>
      <c r="L56" s="40"/>
      <c r="M56" s="41"/>
      <c r="N56" s="16"/>
      <c r="O56" s="16"/>
      <c r="P56" s="16"/>
    </row>
    <row r="57" spans="1:16" x14ac:dyDescent="0.3">
      <c r="A57" s="232"/>
      <c r="B57" s="61"/>
      <c r="C57" s="61"/>
      <c r="D57" s="61"/>
      <c r="E57" s="61"/>
      <c r="F57" s="61"/>
      <c r="G57" s="61"/>
      <c r="H57" s="61"/>
      <c r="I57" s="239"/>
      <c r="J57" s="35"/>
      <c r="K57" s="35"/>
      <c r="L57" s="35"/>
      <c r="M57" s="35"/>
      <c r="N57" s="35"/>
      <c r="O57" s="35"/>
      <c r="P57" s="16"/>
    </row>
    <row r="58" spans="1:16" x14ac:dyDescent="0.3">
      <c r="A58" s="233"/>
      <c r="B58" s="61"/>
      <c r="C58" s="62" t="s">
        <v>333</v>
      </c>
      <c r="D58" s="61"/>
      <c r="E58" s="61"/>
      <c r="F58" s="61"/>
      <c r="G58" s="61"/>
      <c r="H58" s="61"/>
      <c r="I58" s="239"/>
      <c r="J58" s="35"/>
      <c r="K58" s="55" t="s">
        <v>154</v>
      </c>
      <c r="L58" s="35"/>
      <c r="M58" s="35"/>
      <c r="N58" s="35"/>
      <c r="O58" s="35"/>
      <c r="P58" s="16"/>
    </row>
    <row r="59" spans="1:16" x14ac:dyDescent="0.3">
      <c r="A59" s="233"/>
      <c r="B59" s="61"/>
      <c r="C59" s="61"/>
      <c r="D59" s="61"/>
      <c r="E59" s="61"/>
      <c r="F59" s="61"/>
      <c r="G59" s="61"/>
      <c r="H59" s="61"/>
      <c r="I59" s="239"/>
      <c r="J59" s="35"/>
      <c r="K59" s="35"/>
      <c r="L59" s="39"/>
      <c r="M59" s="35"/>
      <c r="N59" s="35"/>
      <c r="O59" s="35"/>
      <c r="P59" s="16"/>
    </row>
    <row r="60" spans="1:16" ht="51" customHeight="1" x14ac:dyDescent="0.3">
      <c r="A60" s="233"/>
      <c r="B60" s="61"/>
      <c r="C60" s="380" t="s">
        <v>343</v>
      </c>
      <c r="D60" s="380"/>
      <c r="E60" s="380"/>
      <c r="F60" s="380"/>
      <c r="G60" s="380"/>
      <c r="H60" s="61"/>
      <c r="I60" s="239"/>
      <c r="J60" s="35"/>
      <c r="K60" s="377" t="s">
        <v>153</v>
      </c>
      <c r="L60" s="377"/>
      <c r="M60" s="377"/>
      <c r="N60" s="377"/>
      <c r="O60" s="35"/>
      <c r="P60" s="16"/>
    </row>
    <row r="61" spans="1:16" ht="12.75" customHeight="1" x14ac:dyDescent="0.3">
      <c r="A61" s="233"/>
      <c r="B61" s="61"/>
      <c r="C61" s="380"/>
      <c r="D61" s="380"/>
      <c r="E61" s="380"/>
      <c r="F61" s="380"/>
      <c r="G61" s="380"/>
      <c r="H61" s="61"/>
      <c r="I61" s="239"/>
      <c r="J61" s="35"/>
      <c r="K61" s="378" t="s">
        <v>155</v>
      </c>
      <c r="L61" s="376"/>
      <c r="M61" s="422" t="s">
        <v>158</v>
      </c>
      <c r="N61" s="423"/>
      <c r="O61" s="35"/>
      <c r="P61" s="16"/>
    </row>
    <row r="62" spans="1:16" ht="12.75" customHeight="1" x14ac:dyDescent="0.3">
      <c r="A62" s="233"/>
      <c r="B62" s="61"/>
      <c r="C62" s="380"/>
      <c r="D62" s="380"/>
      <c r="E62" s="380"/>
      <c r="F62" s="380"/>
      <c r="G62" s="380"/>
      <c r="H62" s="61"/>
      <c r="I62" s="239"/>
      <c r="J62" s="35"/>
      <c r="K62" s="35"/>
      <c r="L62" s="35"/>
      <c r="M62" s="424"/>
      <c r="N62" s="425"/>
      <c r="O62" s="35"/>
      <c r="P62" s="16"/>
    </row>
    <row r="63" spans="1:16" ht="17.25" customHeight="1" x14ac:dyDescent="0.3">
      <c r="A63" s="233"/>
      <c r="B63" s="61"/>
      <c r="C63" s="380"/>
      <c r="D63" s="380"/>
      <c r="E63" s="380"/>
      <c r="F63" s="380"/>
      <c r="G63" s="380"/>
      <c r="H63" s="61"/>
      <c r="I63" s="239"/>
      <c r="J63" s="35"/>
      <c r="K63" s="35"/>
      <c r="L63" s="35"/>
      <c r="M63" s="35"/>
      <c r="N63" s="35"/>
      <c r="O63" s="35"/>
      <c r="P63" s="16"/>
    </row>
    <row r="64" spans="1:16" ht="13.5" thickBot="1" x14ac:dyDescent="0.35">
      <c r="A64" s="233"/>
      <c r="B64" s="61"/>
      <c r="C64" s="61"/>
      <c r="D64" s="61"/>
      <c r="E64" s="61"/>
      <c r="F64" s="61"/>
      <c r="G64" s="61"/>
      <c r="H64" s="61"/>
      <c r="I64" s="239"/>
      <c r="J64" s="35"/>
      <c r="K64" s="283" t="s">
        <v>260</v>
      </c>
      <c r="L64" s="35"/>
      <c r="M64" s="35"/>
      <c r="N64" s="35"/>
      <c r="O64" s="35"/>
      <c r="P64" s="16"/>
    </row>
    <row r="65" spans="1:16" ht="12.75" customHeight="1" thickBot="1" x14ac:dyDescent="0.35">
      <c r="A65" s="233"/>
      <c r="B65" s="61"/>
      <c r="C65" s="286" t="s">
        <v>302</v>
      </c>
      <c r="D65" s="287"/>
      <c r="E65" s="175"/>
      <c r="F65" s="346"/>
      <c r="G65" s="61"/>
      <c r="H65" s="61"/>
      <c r="I65" s="239"/>
      <c r="J65" s="35"/>
      <c r="K65" s="368" t="s">
        <v>344</v>
      </c>
      <c r="L65" s="368"/>
      <c r="M65" s="368"/>
      <c r="N65" s="368"/>
      <c r="O65" s="35"/>
      <c r="P65" s="16"/>
    </row>
    <row r="66" spans="1:16" ht="15" customHeight="1" thickBot="1" x14ac:dyDescent="0.35">
      <c r="A66" s="233"/>
      <c r="B66" s="61"/>
      <c r="C66" s="288"/>
      <c r="D66" s="288"/>
      <c r="E66" s="174"/>
      <c r="F66" s="288"/>
      <c r="G66" s="61"/>
      <c r="H66" s="61"/>
      <c r="I66" s="239"/>
      <c r="J66" s="35"/>
      <c r="K66" s="368"/>
      <c r="L66" s="368"/>
      <c r="M66" s="368"/>
      <c r="N66" s="368"/>
      <c r="O66" s="35"/>
      <c r="P66" s="16"/>
    </row>
    <row r="67" spans="1:16" ht="13.5" thickBot="1" x14ac:dyDescent="0.35">
      <c r="A67" s="233"/>
      <c r="B67" s="61"/>
      <c r="C67" s="289" t="s">
        <v>301</v>
      </c>
      <c r="D67" s="290"/>
      <c r="E67" s="176"/>
      <c r="F67" s="347"/>
      <c r="G67" s="61"/>
      <c r="H67" s="61"/>
      <c r="I67" s="239"/>
      <c r="J67" s="35"/>
      <c r="K67" s="368"/>
      <c r="L67" s="368"/>
      <c r="M67" s="368"/>
      <c r="N67" s="368"/>
      <c r="O67" s="35"/>
      <c r="P67" s="16"/>
    </row>
    <row r="68" spans="1:16" x14ac:dyDescent="0.3">
      <c r="A68" s="233"/>
      <c r="B68" s="61"/>
      <c r="C68" s="61"/>
      <c r="D68" s="61"/>
      <c r="E68" s="61"/>
      <c r="F68" s="61"/>
      <c r="G68" s="61"/>
      <c r="H68" s="61"/>
      <c r="I68" s="239"/>
      <c r="J68" s="35"/>
      <c r="K68" s="249"/>
      <c r="L68" s="249"/>
      <c r="M68" s="249"/>
      <c r="N68" s="249"/>
      <c r="O68" s="35"/>
      <c r="P68" s="16"/>
    </row>
    <row r="69" spans="1:16" x14ac:dyDescent="0.3">
      <c r="A69" s="233"/>
      <c r="B69" s="61"/>
      <c r="C69" s="61"/>
      <c r="D69" s="61"/>
      <c r="E69" s="61"/>
      <c r="F69" s="61"/>
      <c r="G69" s="61"/>
      <c r="H69" s="61"/>
      <c r="I69" s="239"/>
      <c r="J69" s="35"/>
      <c r="K69" s="35"/>
      <c r="L69" s="68" t="s">
        <v>261</v>
      </c>
      <c r="M69" s="348">
        <v>0</v>
      </c>
      <c r="N69" s="249"/>
      <c r="O69" s="35"/>
      <c r="P69" s="16"/>
    </row>
    <row r="70" spans="1:16" x14ac:dyDescent="0.3">
      <c r="A70" s="233"/>
      <c r="B70" s="61"/>
      <c r="C70" s="61"/>
      <c r="D70" s="61"/>
      <c r="E70" s="61"/>
      <c r="F70" s="61"/>
      <c r="G70" s="61"/>
      <c r="H70" s="61"/>
      <c r="I70" s="239"/>
      <c r="J70" s="35"/>
      <c r="K70" s="35"/>
      <c r="L70" s="68" t="s">
        <v>262</v>
      </c>
      <c r="M70" s="284">
        <f>F65-F65*M69</f>
        <v>0</v>
      </c>
      <c r="N70" s="249"/>
      <c r="O70" s="35"/>
      <c r="P70" s="16"/>
    </row>
    <row r="71" spans="1:16" x14ac:dyDescent="0.3">
      <c r="A71" s="233"/>
      <c r="B71" s="61"/>
      <c r="C71" s="61"/>
      <c r="D71" s="61"/>
      <c r="E71" s="61"/>
      <c r="F71" s="61"/>
      <c r="G71" s="61"/>
      <c r="H71" s="61"/>
      <c r="I71" s="239"/>
      <c r="J71" s="35"/>
      <c r="K71" s="249"/>
      <c r="L71" s="249"/>
      <c r="M71" s="249"/>
      <c r="N71" s="249"/>
      <c r="O71" s="35"/>
      <c r="P71" s="16"/>
    </row>
    <row r="72" spans="1:16" ht="13.5" thickBot="1" x14ac:dyDescent="0.35">
      <c r="A72" s="233"/>
      <c r="B72" s="61"/>
      <c r="C72" s="61"/>
      <c r="D72" s="61"/>
      <c r="E72" s="285" t="s">
        <v>101</v>
      </c>
      <c r="F72" s="285" t="s">
        <v>100</v>
      </c>
      <c r="G72" s="61"/>
      <c r="H72" s="61"/>
      <c r="I72" s="239"/>
      <c r="J72" s="35"/>
      <c r="K72" s="35"/>
      <c r="L72" s="39"/>
      <c r="M72" s="291" t="s">
        <v>101</v>
      </c>
      <c r="N72" s="291" t="s">
        <v>100</v>
      </c>
      <c r="O72" s="35"/>
      <c r="P72" s="16"/>
    </row>
    <row r="73" spans="1:16" ht="13.5" thickBot="1" x14ac:dyDescent="0.35">
      <c r="A73" s="233"/>
      <c r="B73" s="61"/>
      <c r="C73" s="64"/>
      <c r="D73" s="65" t="s">
        <v>356</v>
      </c>
      <c r="E73" s="295">
        <f>'Forutsetninger og beregninger'!H105</f>
        <v>0</v>
      </c>
      <c r="F73" s="295">
        <f>'Forutsetninger og beregninger'!I105</f>
        <v>0</v>
      </c>
      <c r="G73" s="294" t="s">
        <v>364</v>
      </c>
      <c r="H73" s="61"/>
      <c r="I73" s="239"/>
      <c r="J73" s="35"/>
      <c r="K73" s="35"/>
      <c r="L73" s="39" t="s">
        <v>356</v>
      </c>
      <c r="M73" s="296">
        <f>'Forutsetninger og beregninger'!H109</f>
        <v>0</v>
      </c>
      <c r="N73" s="296">
        <f>'Forutsetninger og beregninger'!I109</f>
        <v>0</v>
      </c>
      <c r="O73" s="292" t="s">
        <v>364</v>
      </c>
      <c r="P73" s="16"/>
    </row>
    <row r="74" spans="1:16" ht="13.5" thickBot="1" x14ac:dyDescent="0.35">
      <c r="A74" s="233"/>
      <c r="B74" s="61"/>
      <c r="C74" s="64"/>
      <c r="D74" s="65" t="s">
        <v>357</v>
      </c>
      <c r="E74" s="295">
        <f>'Forutsetninger og beregninger'!$G$117</f>
        <v>0</v>
      </c>
      <c r="F74" s="295">
        <f>'Forutsetninger og beregninger'!$G$117</f>
        <v>0</v>
      </c>
      <c r="G74" s="294" t="s">
        <v>364</v>
      </c>
      <c r="H74" s="61"/>
      <c r="I74" s="239"/>
      <c r="J74" s="35"/>
      <c r="K74" s="35"/>
      <c r="L74" s="39" t="s">
        <v>357</v>
      </c>
      <c r="M74" s="296">
        <f>'Forutsetninger og beregninger'!$K$117</f>
        <v>0</v>
      </c>
      <c r="N74" s="296">
        <f>'Forutsetninger og beregninger'!$K$117</f>
        <v>0</v>
      </c>
      <c r="O74" s="292" t="s">
        <v>364</v>
      </c>
      <c r="P74" s="16"/>
    </row>
    <row r="75" spans="1:16" ht="13.5" thickBot="1" x14ac:dyDescent="0.35">
      <c r="A75" s="233"/>
      <c r="B75" s="61"/>
      <c r="C75" s="61"/>
      <c r="D75" s="64"/>
      <c r="E75" s="65"/>
      <c r="F75" s="61"/>
      <c r="G75" s="61"/>
      <c r="H75" s="61"/>
      <c r="I75" s="239"/>
      <c r="J75" s="35"/>
      <c r="K75" s="35"/>
      <c r="L75" s="39" t="s">
        <v>51</v>
      </c>
      <c r="M75" s="293" t="e">
        <f>1-(SUM(M73:M74)/SUM(E73:E74))</f>
        <v>#DIV/0!</v>
      </c>
      <c r="N75" s="293" t="e">
        <f>1-(SUM(N73:N74)/SUM(F73:F74))</f>
        <v>#DIV/0!</v>
      </c>
      <c r="O75" s="35"/>
      <c r="P75" s="16"/>
    </row>
    <row r="76" spans="1:16" x14ac:dyDescent="0.3">
      <c r="A76" s="233"/>
      <c r="B76" s="61"/>
      <c r="C76" s="61"/>
      <c r="D76" s="61"/>
      <c r="E76" s="61"/>
      <c r="F76" s="61"/>
      <c r="G76" s="61"/>
      <c r="H76" s="61"/>
      <c r="I76" s="239"/>
      <c r="J76" s="35"/>
      <c r="K76" s="35"/>
      <c r="L76" s="39"/>
      <c r="M76" s="35"/>
      <c r="N76" s="35"/>
      <c r="O76" s="35"/>
      <c r="P76" s="16"/>
    </row>
    <row r="77" spans="1:16" x14ac:dyDescent="0.3">
      <c r="A77" s="16"/>
      <c r="B77" s="16"/>
      <c r="C77" s="16"/>
      <c r="D77" s="16"/>
      <c r="E77" s="16"/>
      <c r="F77" s="16"/>
      <c r="G77" s="16"/>
      <c r="H77" s="16"/>
      <c r="I77" s="16"/>
      <c r="J77" s="16"/>
      <c r="K77" s="16"/>
      <c r="L77" s="40"/>
      <c r="M77" s="41"/>
      <c r="N77" s="16"/>
      <c r="O77" s="16"/>
      <c r="P77" s="16"/>
    </row>
    <row r="78" spans="1:16" x14ac:dyDescent="0.3">
      <c r="A78" s="232"/>
      <c r="B78" s="61"/>
      <c r="C78" s="61"/>
      <c r="D78" s="61"/>
      <c r="E78" s="61"/>
      <c r="F78" s="61"/>
      <c r="G78" s="61"/>
      <c r="H78" s="61"/>
      <c r="I78" s="239"/>
      <c r="J78" s="35"/>
      <c r="K78" s="35"/>
      <c r="L78" s="35"/>
      <c r="M78" s="35"/>
      <c r="N78" s="35"/>
      <c r="O78" s="35"/>
      <c r="P78" s="16"/>
    </row>
    <row r="79" spans="1:16" ht="24.75" customHeight="1" x14ac:dyDescent="0.3">
      <c r="A79" s="233"/>
      <c r="B79" s="61"/>
      <c r="C79" s="62" t="s">
        <v>334</v>
      </c>
      <c r="D79" s="61"/>
      <c r="E79" s="61"/>
      <c r="F79" s="61"/>
      <c r="G79" s="61"/>
      <c r="H79" s="61"/>
      <c r="I79" s="239"/>
      <c r="J79" s="35"/>
      <c r="K79" s="55" t="s">
        <v>99</v>
      </c>
      <c r="L79" s="35"/>
      <c r="M79" s="35"/>
      <c r="N79" s="35"/>
      <c r="O79" s="35"/>
      <c r="P79" s="16"/>
    </row>
    <row r="80" spans="1:16" ht="81" customHeight="1" x14ac:dyDescent="0.3">
      <c r="A80" s="233"/>
      <c r="B80" s="61"/>
      <c r="C80" s="380" t="s">
        <v>345</v>
      </c>
      <c r="D80" s="380"/>
      <c r="E80" s="380"/>
      <c r="F80" s="380"/>
      <c r="G80" s="380"/>
      <c r="H80" s="61"/>
      <c r="I80" s="239"/>
      <c r="J80" s="35"/>
      <c r="K80" s="377" t="s">
        <v>325</v>
      </c>
      <c r="L80" s="377"/>
      <c r="M80" s="377"/>
      <c r="N80" s="377"/>
      <c r="O80" s="35"/>
      <c r="P80" s="16"/>
    </row>
    <row r="81" spans="1:17" ht="21" customHeight="1" x14ac:dyDescent="0.3">
      <c r="A81" s="233"/>
      <c r="B81" s="61"/>
      <c r="C81" s="380"/>
      <c r="D81" s="380"/>
      <c r="E81" s="380"/>
      <c r="F81" s="380"/>
      <c r="G81" s="380"/>
      <c r="H81" s="61"/>
      <c r="I81" s="239"/>
      <c r="J81" s="35"/>
      <c r="K81" s="378" t="s">
        <v>59</v>
      </c>
      <c r="L81" s="379"/>
      <c r="M81" s="382" t="s">
        <v>45</v>
      </c>
      <c r="N81" s="383"/>
      <c r="O81" s="44"/>
      <c r="P81" s="67"/>
    </row>
    <row r="82" spans="1:17" x14ac:dyDescent="0.3">
      <c r="A82" s="233"/>
      <c r="B82" s="61"/>
      <c r="C82" s="380"/>
      <c r="D82" s="380"/>
      <c r="E82" s="380"/>
      <c r="F82" s="380"/>
      <c r="G82" s="380"/>
      <c r="H82" s="61"/>
      <c r="I82" s="239"/>
      <c r="J82" s="35"/>
      <c r="K82" s="35"/>
      <c r="L82" s="35"/>
      <c r="M82" s="35"/>
      <c r="N82" s="35"/>
      <c r="O82" s="35"/>
      <c r="P82" s="16"/>
    </row>
    <row r="83" spans="1:17" x14ac:dyDescent="0.3">
      <c r="A83" s="233"/>
      <c r="B83" s="61"/>
      <c r="C83" s="380"/>
      <c r="D83" s="380"/>
      <c r="E83" s="380"/>
      <c r="F83" s="380"/>
      <c r="G83" s="380"/>
      <c r="H83" s="61"/>
      <c r="I83" s="239"/>
      <c r="J83" s="35"/>
      <c r="K83" s="36"/>
      <c r="L83" s="36"/>
      <c r="M83" s="36"/>
      <c r="N83" s="36"/>
      <c r="O83" s="35"/>
      <c r="P83" s="16"/>
    </row>
    <row r="84" spans="1:17" ht="84" customHeight="1" x14ac:dyDescent="0.3">
      <c r="A84" s="233"/>
      <c r="B84" s="61"/>
      <c r="C84" s="61"/>
      <c r="D84" s="61"/>
      <c r="E84" s="61"/>
      <c r="F84" s="61"/>
      <c r="G84" s="61"/>
      <c r="H84" s="61"/>
      <c r="I84" s="239"/>
      <c r="J84" s="35"/>
      <c r="K84" s="377" t="s">
        <v>303</v>
      </c>
      <c r="L84" s="368"/>
      <c r="M84" s="368"/>
      <c r="N84" s="368"/>
      <c r="O84" s="35"/>
      <c r="P84" s="16"/>
    </row>
    <row r="85" spans="1:17" x14ac:dyDescent="0.3">
      <c r="A85" s="233"/>
      <c r="B85" s="61"/>
      <c r="C85" s="61"/>
      <c r="D85" s="61"/>
      <c r="E85" s="61"/>
      <c r="F85" s="61"/>
      <c r="G85" s="61"/>
      <c r="H85" s="61"/>
      <c r="I85" s="239"/>
      <c r="J85" s="35"/>
      <c r="K85" s="42"/>
      <c r="L85" s="42"/>
      <c r="M85" s="42"/>
      <c r="N85" s="42"/>
      <c r="O85" s="35"/>
      <c r="P85" s="16"/>
    </row>
    <row r="86" spans="1:17" x14ac:dyDescent="0.3">
      <c r="A86" s="233"/>
      <c r="B86" s="61"/>
      <c r="C86" s="61"/>
      <c r="D86" s="61"/>
      <c r="E86" s="61"/>
      <c r="F86" s="61"/>
      <c r="G86" s="61"/>
      <c r="H86" s="61"/>
      <c r="I86" s="239"/>
      <c r="J86" s="35"/>
      <c r="K86" s="378" t="s">
        <v>60</v>
      </c>
      <c r="L86" s="379"/>
      <c r="M86" s="365" t="s">
        <v>208</v>
      </c>
      <c r="N86" s="366"/>
      <c r="O86" s="35"/>
      <c r="P86" s="16"/>
    </row>
    <row r="87" spans="1:17" x14ac:dyDescent="0.3">
      <c r="A87" s="233"/>
      <c r="B87" s="61"/>
      <c r="C87" s="61"/>
      <c r="D87" s="61"/>
      <c r="E87" s="61"/>
      <c r="F87" s="61"/>
      <c r="G87" s="61"/>
      <c r="H87" s="61"/>
      <c r="I87" s="239"/>
      <c r="J87" s="35"/>
      <c r="K87" s="42"/>
      <c r="L87" s="42"/>
      <c r="M87" s="42"/>
      <c r="N87" s="42"/>
      <c r="O87" s="35"/>
      <c r="P87" s="16"/>
    </row>
    <row r="88" spans="1:17" x14ac:dyDescent="0.3">
      <c r="A88" s="233"/>
      <c r="B88" s="61"/>
      <c r="C88" s="61"/>
      <c r="D88" s="61"/>
      <c r="E88" s="61"/>
      <c r="F88" s="61"/>
      <c r="G88" s="61"/>
      <c r="H88" s="61"/>
      <c r="I88" s="239"/>
      <c r="J88" s="35"/>
      <c r="K88" s="378" t="s">
        <v>61</v>
      </c>
      <c r="L88" s="379"/>
      <c r="M88" s="365" t="s">
        <v>210</v>
      </c>
      <c r="N88" s="366"/>
      <c r="O88" s="35"/>
      <c r="P88" s="16"/>
    </row>
    <row r="89" spans="1:17" x14ac:dyDescent="0.3">
      <c r="A89" s="233"/>
      <c r="B89" s="61"/>
      <c r="C89" s="61"/>
      <c r="D89" s="61"/>
      <c r="E89" s="61"/>
      <c r="F89" s="61"/>
      <c r="G89" s="61"/>
      <c r="H89" s="61"/>
      <c r="I89" s="239"/>
      <c r="J89" s="35"/>
      <c r="K89" s="243"/>
      <c r="L89" s="244"/>
      <c r="M89" s="244"/>
      <c r="N89" s="244"/>
      <c r="O89" s="35"/>
      <c r="P89" s="16"/>
    </row>
    <row r="90" spans="1:17" ht="12.75" customHeight="1" x14ac:dyDescent="0.3">
      <c r="A90" s="233"/>
      <c r="B90" s="61"/>
      <c r="C90" s="61"/>
      <c r="D90" s="61"/>
      <c r="E90" s="61"/>
      <c r="F90" s="61"/>
      <c r="G90" s="61"/>
      <c r="H90" s="61"/>
      <c r="I90" s="239"/>
      <c r="J90" s="35"/>
      <c r="K90" s="378" t="s">
        <v>241</v>
      </c>
      <c r="L90" s="379"/>
      <c r="M90" s="365" t="s">
        <v>269</v>
      </c>
      <c r="N90" s="366"/>
      <c r="O90" s="35"/>
      <c r="P90" s="16"/>
    </row>
    <row r="91" spans="1:17" x14ac:dyDescent="0.3">
      <c r="A91" s="233"/>
      <c r="B91" s="61"/>
      <c r="C91" s="61"/>
      <c r="D91" s="61"/>
      <c r="E91" s="61"/>
      <c r="F91" s="61"/>
      <c r="G91" s="61"/>
      <c r="H91" s="61"/>
      <c r="I91" s="239"/>
      <c r="J91" s="35"/>
      <c r="K91" s="42"/>
      <c r="L91" s="42"/>
      <c r="M91" s="42"/>
      <c r="N91" s="42"/>
      <c r="O91" s="35"/>
      <c r="P91" s="16"/>
    </row>
    <row r="92" spans="1:17" ht="13.5" thickBot="1" x14ac:dyDescent="0.35">
      <c r="A92" s="233"/>
      <c r="B92" s="61"/>
      <c r="C92" s="61"/>
      <c r="D92" s="61"/>
      <c r="E92" s="130" t="s">
        <v>101</v>
      </c>
      <c r="F92" s="130" t="s">
        <v>100</v>
      </c>
      <c r="G92" s="61"/>
      <c r="H92" s="61"/>
      <c r="I92" s="239"/>
      <c r="J92" s="35"/>
      <c r="K92" s="42"/>
      <c r="L92" s="42"/>
      <c r="M92" s="42" t="s">
        <v>101</v>
      </c>
      <c r="N92" s="42" t="s">
        <v>100</v>
      </c>
      <c r="O92" s="35"/>
      <c r="P92" s="16"/>
    </row>
    <row r="93" spans="1:17" ht="13.5" thickBot="1" x14ac:dyDescent="0.35">
      <c r="A93" s="233"/>
      <c r="B93" s="61"/>
      <c r="C93" s="64"/>
      <c r="D93" s="65" t="s">
        <v>300</v>
      </c>
      <c r="E93" s="295">
        <f>'Forutsetninger og beregninger'!H175</f>
        <v>0</v>
      </c>
      <c r="F93" s="295">
        <f>'Forutsetninger og beregninger'!J175</f>
        <v>0</v>
      </c>
      <c r="G93" s="294" t="s">
        <v>364</v>
      </c>
      <c r="H93" s="61"/>
      <c r="I93" s="239"/>
      <c r="J93" s="35"/>
      <c r="K93" s="35"/>
      <c r="L93" s="39" t="s">
        <v>300</v>
      </c>
      <c r="M93" s="296">
        <f>'Forutsetninger og beregninger'!I251</f>
        <v>0</v>
      </c>
      <c r="N93" s="296">
        <f>'Forutsetninger og beregninger'!K251</f>
        <v>0</v>
      </c>
      <c r="O93" s="292" t="s">
        <v>364</v>
      </c>
      <c r="P93" s="16"/>
      <c r="Q93" s="2"/>
    </row>
    <row r="94" spans="1:17" ht="13.5" thickBot="1" x14ac:dyDescent="0.35">
      <c r="A94" s="233"/>
      <c r="B94" s="61"/>
      <c r="C94" s="61"/>
      <c r="D94" s="61"/>
      <c r="E94" s="61"/>
      <c r="F94" s="61"/>
      <c r="G94" s="61"/>
      <c r="H94" s="61"/>
      <c r="I94" s="239"/>
      <c r="J94" s="35"/>
      <c r="K94" s="35"/>
      <c r="L94" s="39" t="s">
        <v>51</v>
      </c>
      <c r="M94" s="293" t="e">
        <f>1-(M93/E93)</f>
        <v>#DIV/0!</v>
      </c>
      <c r="N94" s="293" t="e">
        <f>1-(N93/F93)</f>
        <v>#DIV/0!</v>
      </c>
      <c r="O94" s="35"/>
      <c r="P94" s="16"/>
    </row>
    <row r="95" spans="1:17" x14ac:dyDescent="0.3">
      <c r="A95" s="233"/>
      <c r="B95" s="61"/>
      <c r="C95" s="61"/>
      <c r="D95" s="61"/>
      <c r="E95" s="61"/>
      <c r="F95" s="61"/>
      <c r="G95" s="61"/>
      <c r="H95" s="61"/>
      <c r="I95" s="239"/>
      <c r="J95" s="35"/>
      <c r="K95" s="35"/>
      <c r="L95" s="39"/>
      <c r="M95" s="35"/>
      <c r="N95" s="35"/>
      <c r="O95" s="35"/>
      <c r="P95" s="16"/>
    </row>
    <row r="96" spans="1:17" x14ac:dyDescent="0.3">
      <c r="A96" s="16"/>
      <c r="B96" s="16"/>
      <c r="C96" s="16"/>
      <c r="D96" s="16"/>
      <c r="E96" s="16"/>
      <c r="F96" s="16"/>
      <c r="G96" s="16"/>
      <c r="H96" s="16"/>
      <c r="I96" s="16"/>
      <c r="J96" s="16"/>
      <c r="K96" s="16"/>
      <c r="L96" s="40"/>
      <c r="M96" s="41"/>
      <c r="N96" s="16"/>
      <c r="O96" s="16"/>
      <c r="P96" s="16"/>
    </row>
    <row r="97" spans="1:17" x14ac:dyDescent="0.3">
      <c r="A97" s="232"/>
      <c r="B97" s="61"/>
      <c r="C97" s="61"/>
      <c r="D97" s="61"/>
      <c r="E97" s="61"/>
      <c r="F97" s="61"/>
      <c r="G97" s="61"/>
      <c r="H97" s="61"/>
      <c r="I97" s="239"/>
      <c r="J97" s="35"/>
      <c r="K97" s="35"/>
      <c r="L97" s="35"/>
      <c r="M97" s="35"/>
      <c r="N97" s="35"/>
      <c r="O97" s="35"/>
      <c r="P97" s="16"/>
    </row>
    <row r="98" spans="1:17" x14ac:dyDescent="0.3">
      <c r="A98" s="233"/>
      <c r="B98" s="61"/>
      <c r="C98" s="62" t="s">
        <v>162</v>
      </c>
      <c r="D98" s="61"/>
      <c r="E98" s="61"/>
      <c r="F98" s="61"/>
      <c r="G98" s="61"/>
      <c r="H98" s="61"/>
      <c r="I98" s="239"/>
      <c r="J98" s="35"/>
      <c r="K98" s="55" t="s">
        <v>102</v>
      </c>
      <c r="L98" s="35"/>
      <c r="M98" s="35"/>
      <c r="N98" s="35"/>
      <c r="O98" s="35"/>
      <c r="P98" s="16"/>
    </row>
    <row r="99" spans="1:17" ht="12.75" customHeight="1" x14ac:dyDescent="0.3">
      <c r="A99" s="233"/>
      <c r="B99" s="61"/>
      <c r="C99" s="61"/>
      <c r="D99" s="61"/>
      <c r="E99" s="61"/>
      <c r="F99" s="61"/>
      <c r="G99" s="61"/>
      <c r="H99" s="61"/>
      <c r="I99" s="239"/>
      <c r="J99" s="35"/>
      <c r="K99" s="377"/>
      <c r="L99" s="377"/>
      <c r="M99" s="377"/>
      <c r="N99" s="377"/>
      <c r="O99" s="35"/>
      <c r="P99" s="16"/>
    </row>
    <row r="100" spans="1:17" ht="107.25" customHeight="1" x14ac:dyDescent="0.3">
      <c r="A100" s="233"/>
      <c r="B100" s="61"/>
      <c r="C100" s="380" t="s">
        <v>304</v>
      </c>
      <c r="D100" s="380"/>
      <c r="E100" s="380"/>
      <c r="F100" s="380"/>
      <c r="G100" s="380"/>
      <c r="H100" s="61"/>
      <c r="I100" s="239"/>
      <c r="J100" s="35"/>
      <c r="K100" s="367" t="s">
        <v>252</v>
      </c>
      <c r="L100" s="367"/>
      <c r="M100" s="367"/>
      <c r="N100" s="367"/>
      <c r="O100" s="44"/>
      <c r="P100" s="67"/>
    </row>
    <row r="101" spans="1:17" ht="14.25" customHeight="1" thickBot="1" x14ac:dyDescent="0.35">
      <c r="A101" s="233"/>
      <c r="B101" s="61"/>
      <c r="C101" s="61"/>
      <c r="D101" s="61"/>
      <c r="E101" s="61"/>
      <c r="F101" s="61"/>
      <c r="G101" s="61"/>
      <c r="H101" s="61"/>
      <c r="I101" s="239"/>
      <c r="J101" s="35"/>
      <c r="K101" s="164"/>
      <c r="L101" s="164"/>
      <c r="M101" s="164"/>
      <c r="N101" s="164"/>
      <c r="O101" s="35"/>
      <c r="P101" s="16"/>
      <c r="Q101" s="2"/>
    </row>
    <row r="102" spans="1:17" x14ac:dyDescent="0.3">
      <c r="A102" s="233"/>
      <c r="B102" s="61"/>
      <c r="C102" s="134" t="s">
        <v>115</v>
      </c>
      <c r="D102" s="135"/>
      <c r="E102" s="136" t="s">
        <v>371</v>
      </c>
      <c r="F102" s="61"/>
      <c r="G102" s="61"/>
      <c r="H102" s="61"/>
      <c r="I102" s="239"/>
      <c r="J102" s="35"/>
      <c r="K102" s="378" t="s">
        <v>227</v>
      </c>
      <c r="L102" s="379"/>
      <c r="M102" s="350">
        <v>0</v>
      </c>
      <c r="N102" s="165"/>
      <c r="O102" s="35"/>
      <c r="P102" s="16"/>
      <c r="Q102" s="2"/>
    </row>
    <row r="103" spans="1:17" x14ac:dyDescent="0.3">
      <c r="A103" s="233"/>
      <c r="B103" s="61"/>
      <c r="C103" s="415" t="s">
        <v>87</v>
      </c>
      <c r="D103" s="416"/>
      <c r="E103" s="349"/>
      <c r="F103" s="61"/>
      <c r="G103" s="61"/>
      <c r="H103" s="61"/>
      <c r="I103" s="239"/>
      <c r="J103" s="35"/>
      <c r="K103" s="367"/>
      <c r="L103" s="369"/>
      <c r="M103" s="369"/>
      <c r="N103" s="369"/>
      <c r="O103" s="35"/>
      <c r="P103" s="16"/>
    </row>
    <row r="104" spans="1:17" x14ac:dyDescent="0.3">
      <c r="A104" s="233"/>
      <c r="B104" s="61"/>
      <c r="C104" s="415" t="s">
        <v>88</v>
      </c>
      <c r="D104" s="416"/>
      <c r="E104" s="349"/>
      <c r="F104" s="61"/>
      <c r="G104" s="61"/>
      <c r="H104" s="61"/>
      <c r="I104" s="239"/>
      <c r="J104" s="35"/>
      <c r="K104" s="166"/>
      <c r="L104" s="166"/>
      <c r="M104" s="167"/>
      <c r="N104" s="167"/>
      <c r="O104" s="35"/>
      <c r="P104" s="16"/>
    </row>
    <row r="105" spans="1:17" x14ac:dyDescent="0.3">
      <c r="A105" s="233"/>
      <c r="B105" s="61"/>
      <c r="C105" s="415" t="s">
        <v>89</v>
      </c>
      <c r="D105" s="416"/>
      <c r="E105" s="349"/>
      <c r="F105" s="61"/>
      <c r="G105" s="61"/>
      <c r="H105" s="61"/>
      <c r="I105" s="239"/>
      <c r="J105" s="35"/>
      <c r="K105" s="376"/>
      <c r="L105" s="376"/>
      <c r="M105" s="121"/>
      <c r="N105" s="121"/>
      <c r="O105" s="35"/>
      <c r="P105" s="16"/>
    </row>
    <row r="106" spans="1:17" x14ac:dyDescent="0.3">
      <c r="A106" s="233"/>
      <c r="B106" s="61"/>
      <c r="C106" s="415" t="s">
        <v>90</v>
      </c>
      <c r="D106" s="416"/>
      <c r="E106" s="349"/>
      <c r="F106" s="61"/>
      <c r="G106" s="61"/>
      <c r="H106" s="61"/>
      <c r="I106" s="239"/>
      <c r="J106" s="35"/>
      <c r="K106" s="121"/>
      <c r="L106" s="121"/>
      <c r="M106" s="121"/>
      <c r="N106" s="121"/>
      <c r="O106" s="35"/>
      <c r="P106" s="16"/>
    </row>
    <row r="107" spans="1:17" x14ac:dyDescent="0.3">
      <c r="A107" s="233"/>
      <c r="B107" s="61"/>
      <c r="C107" s="415" t="s">
        <v>91</v>
      </c>
      <c r="D107" s="416"/>
      <c r="E107" s="349"/>
      <c r="F107" s="61"/>
      <c r="G107" s="61"/>
      <c r="H107" s="61"/>
      <c r="I107" s="239"/>
      <c r="J107" s="35"/>
      <c r="K107" s="121"/>
      <c r="L107" s="121"/>
      <c r="M107" s="121"/>
      <c r="N107" s="121"/>
      <c r="O107" s="35"/>
      <c r="P107" s="16"/>
    </row>
    <row r="108" spans="1:17" ht="13.5" thickBot="1" x14ac:dyDescent="0.35">
      <c r="A108" s="233"/>
      <c r="B108" s="61"/>
      <c r="C108" s="413" t="s">
        <v>92</v>
      </c>
      <c r="D108" s="414"/>
      <c r="E108" s="342"/>
      <c r="F108" s="61"/>
      <c r="G108" s="61"/>
      <c r="H108" s="61"/>
      <c r="I108" s="239"/>
      <c r="J108" s="35"/>
      <c r="K108" s="124"/>
      <c r="L108" s="124"/>
      <c r="M108" s="124"/>
      <c r="N108" s="124"/>
      <c r="O108" s="35"/>
      <c r="P108" s="16"/>
    </row>
    <row r="109" spans="1:17" ht="15.75" customHeight="1" thickBot="1" x14ac:dyDescent="0.35">
      <c r="A109" s="233"/>
      <c r="B109" s="61"/>
      <c r="C109" s="413" t="s">
        <v>226</v>
      </c>
      <c r="D109" s="414"/>
      <c r="E109" s="351">
        <f>SUM(E104:E108)</f>
        <v>0</v>
      </c>
      <c r="F109" s="61"/>
      <c r="G109" s="61"/>
      <c r="H109" s="61"/>
      <c r="I109" s="239"/>
      <c r="J109" s="35"/>
      <c r="K109" s="196"/>
      <c r="L109" s="196"/>
      <c r="M109" s="196"/>
      <c r="N109" s="196"/>
      <c r="O109" s="35"/>
      <c r="P109" s="16"/>
    </row>
    <row r="110" spans="1:17" ht="13.5" thickBot="1" x14ac:dyDescent="0.35">
      <c r="A110" s="233"/>
      <c r="B110" s="231"/>
      <c r="C110" s="61"/>
      <c r="D110" s="61"/>
      <c r="E110" s="61"/>
      <c r="F110" s="61"/>
      <c r="G110" s="61"/>
      <c r="H110" s="61"/>
      <c r="I110" s="239"/>
      <c r="J110" s="35"/>
      <c r="K110" s="124"/>
      <c r="L110" s="124"/>
      <c r="M110" s="124"/>
      <c r="N110" s="124"/>
      <c r="O110" s="35"/>
      <c r="P110" s="16"/>
    </row>
    <row r="111" spans="1:17" ht="13.5" thickBot="1" x14ac:dyDescent="0.35">
      <c r="A111" s="233"/>
      <c r="B111" s="61"/>
      <c r="C111" s="64"/>
      <c r="D111" s="65"/>
      <c r="E111" s="65" t="s">
        <v>300</v>
      </c>
      <c r="F111" s="295">
        <f>'Forutsetninger og beregninger'!F282</f>
        <v>0</v>
      </c>
      <c r="G111" s="294" t="s">
        <v>364</v>
      </c>
      <c r="H111" s="61"/>
      <c r="I111" s="239"/>
      <c r="J111" s="35"/>
      <c r="K111" s="35"/>
      <c r="L111" s="39" t="s">
        <v>300</v>
      </c>
      <c r="M111" s="296">
        <f>'Forutsetninger og beregninger'!E290</f>
        <v>0</v>
      </c>
      <c r="N111" s="292" t="s">
        <v>364</v>
      </c>
      <c r="O111" s="35"/>
      <c r="P111" s="16"/>
    </row>
    <row r="112" spans="1:17" ht="13.5" thickBot="1" x14ac:dyDescent="0.35">
      <c r="A112" s="233"/>
      <c r="B112" s="61"/>
      <c r="C112" s="61"/>
      <c r="D112" s="61"/>
      <c r="E112" s="61"/>
      <c r="F112" s="61"/>
      <c r="G112" s="61"/>
      <c r="H112" s="61"/>
      <c r="I112" s="239"/>
      <c r="J112" s="35"/>
      <c r="K112" s="35"/>
      <c r="L112" s="39" t="s">
        <v>51</v>
      </c>
      <c r="M112" s="293" t="e">
        <f>1-(M111/F111)</f>
        <v>#DIV/0!</v>
      </c>
      <c r="N112" s="292"/>
      <c r="O112" s="35"/>
      <c r="P112" s="16"/>
    </row>
    <row r="113" spans="1:17" x14ac:dyDescent="0.3">
      <c r="A113" s="233"/>
      <c r="B113" s="61"/>
      <c r="C113" s="61"/>
      <c r="D113" s="61"/>
      <c r="E113" s="61"/>
      <c r="F113" s="61"/>
      <c r="G113" s="61"/>
      <c r="H113" s="61"/>
      <c r="I113" s="239"/>
      <c r="J113" s="35"/>
      <c r="K113" s="35"/>
      <c r="L113" s="39"/>
      <c r="M113" s="35"/>
      <c r="N113" s="35"/>
      <c r="O113" s="35"/>
      <c r="P113" s="16"/>
    </row>
    <row r="114" spans="1:17" x14ac:dyDescent="0.3">
      <c r="A114" s="16"/>
      <c r="B114" s="16"/>
      <c r="C114" s="16"/>
      <c r="D114" s="16"/>
      <c r="E114" s="16"/>
      <c r="F114" s="16"/>
      <c r="G114" s="16"/>
      <c r="H114" s="16"/>
      <c r="I114" s="16"/>
      <c r="J114" s="16"/>
      <c r="K114" s="16"/>
      <c r="L114" s="40"/>
      <c r="M114" s="41"/>
      <c r="N114" s="16"/>
      <c r="O114" s="16"/>
      <c r="P114" s="16"/>
    </row>
    <row r="115" spans="1:17" x14ac:dyDescent="0.3">
      <c r="A115" s="232"/>
      <c r="B115" s="61"/>
      <c r="C115" s="61"/>
      <c r="D115" s="61"/>
      <c r="E115" s="61"/>
      <c r="F115" s="61"/>
      <c r="G115" s="61"/>
      <c r="H115" s="61"/>
      <c r="I115" s="239"/>
      <c r="J115" s="35"/>
      <c r="K115" s="297"/>
      <c r="L115" s="35"/>
      <c r="M115" s="35"/>
      <c r="N115" s="35"/>
      <c r="O115" s="35"/>
      <c r="P115" s="16"/>
    </row>
    <row r="116" spans="1:17" x14ac:dyDescent="0.3">
      <c r="A116" s="233"/>
      <c r="B116" s="61"/>
      <c r="C116" s="62" t="s">
        <v>163</v>
      </c>
      <c r="D116" s="61"/>
      <c r="E116" s="61"/>
      <c r="F116" s="61"/>
      <c r="G116" s="61"/>
      <c r="H116" s="61"/>
      <c r="I116" s="239"/>
      <c r="J116" s="35"/>
      <c r="K116" s="55" t="s">
        <v>141</v>
      </c>
      <c r="L116" s="35"/>
      <c r="M116" s="35"/>
      <c r="N116" s="35"/>
      <c r="O116" s="35"/>
      <c r="P116" s="16"/>
    </row>
    <row r="117" spans="1:17" x14ac:dyDescent="0.3">
      <c r="A117" s="233"/>
      <c r="B117" s="61"/>
      <c r="C117" s="412"/>
      <c r="D117" s="412"/>
      <c r="E117" s="412"/>
      <c r="F117" s="412"/>
      <c r="G117" s="412"/>
      <c r="H117" s="61"/>
      <c r="I117" s="239"/>
      <c r="J117" s="35"/>
      <c r="K117" s="123"/>
      <c r="L117" s="123"/>
      <c r="M117" s="123"/>
      <c r="N117" s="123"/>
      <c r="O117" s="35"/>
      <c r="P117" s="16"/>
    </row>
    <row r="118" spans="1:17" ht="15" customHeight="1" x14ac:dyDescent="0.3">
      <c r="A118" s="233"/>
      <c r="B118" s="61"/>
      <c r="C118" s="364" t="s">
        <v>328</v>
      </c>
      <c r="D118" s="364"/>
      <c r="E118" s="364"/>
      <c r="F118" s="364"/>
      <c r="G118" s="364"/>
      <c r="H118" s="61"/>
      <c r="I118" s="239"/>
      <c r="J118" s="35"/>
      <c r="K118" s="206" t="s">
        <v>152</v>
      </c>
      <c r="L118" s="207"/>
      <c r="M118" s="186"/>
      <c r="N118" s="187"/>
      <c r="O118" s="44"/>
      <c r="P118" s="67"/>
      <c r="Q118" s="162"/>
    </row>
    <row r="119" spans="1:17" x14ac:dyDescent="0.3">
      <c r="A119" s="233"/>
      <c r="B119" s="61"/>
      <c r="C119" s="364"/>
      <c r="D119" s="364"/>
      <c r="E119" s="364"/>
      <c r="F119" s="364"/>
      <c r="G119" s="364"/>
      <c r="H119" s="61"/>
      <c r="I119" s="239"/>
      <c r="J119" s="35"/>
      <c r="K119" s="369" t="s">
        <v>266</v>
      </c>
      <c r="L119" s="369"/>
      <c r="M119" s="369"/>
      <c r="N119" s="369"/>
      <c r="O119" s="35"/>
      <c r="P119" s="16"/>
      <c r="Q119" s="2"/>
    </row>
    <row r="120" spans="1:17" x14ac:dyDescent="0.3">
      <c r="A120" s="233"/>
      <c r="B120" s="61"/>
      <c r="C120" s="364"/>
      <c r="D120" s="364"/>
      <c r="E120" s="364"/>
      <c r="F120" s="364"/>
      <c r="G120" s="364"/>
      <c r="H120" s="61"/>
      <c r="I120" s="239"/>
      <c r="J120" s="35"/>
      <c r="K120" s="369"/>
      <c r="L120" s="369"/>
      <c r="M120" s="369"/>
      <c r="N120" s="369"/>
      <c r="O120" s="35"/>
      <c r="P120" s="16"/>
      <c r="Q120" s="2"/>
    </row>
    <row r="121" spans="1:17" x14ac:dyDescent="0.3">
      <c r="A121" s="233"/>
      <c r="B121" s="61"/>
      <c r="C121" s="364"/>
      <c r="D121" s="364"/>
      <c r="E121" s="364"/>
      <c r="F121" s="364"/>
      <c r="G121" s="364"/>
      <c r="H121" s="61"/>
      <c r="I121" s="239"/>
      <c r="J121" s="35"/>
      <c r="K121" s="188"/>
      <c r="L121" s="189"/>
      <c r="M121" s="189"/>
      <c r="N121" s="189"/>
      <c r="O121" s="35"/>
      <c r="P121" s="16"/>
      <c r="Q121" s="2"/>
    </row>
    <row r="122" spans="1:17" x14ac:dyDescent="0.3">
      <c r="A122" s="233"/>
      <c r="B122" s="61"/>
      <c r="C122" s="364"/>
      <c r="D122" s="364"/>
      <c r="E122" s="364"/>
      <c r="F122" s="364"/>
      <c r="G122" s="364"/>
      <c r="H122" s="61"/>
      <c r="I122" s="239"/>
      <c r="J122" s="35"/>
      <c r="K122" s="190"/>
      <c r="L122" s="190"/>
      <c r="M122" s="189"/>
      <c r="N122" s="189"/>
      <c r="O122" s="35"/>
      <c r="P122" s="16"/>
    </row>
    <row r="123" spans="1:17" ht="12.75" customHeight="1" x14ac:dyDescent="0.3">
      <c r="A123" s="233"/>
      <c r="B123" s="61"/>
      <c r="C123" s="364"/>
      <c r="D123" s="364"/>
      <c r="E123" s="364"/>
      <c r="F123" s="364"/>
      <c r="G123" s="364"/>
      <c r="H123" s="61"/>
      <c r="I123" s="239"/>
      <c r="J123" s="35"/>
      <c r="K123" s="374" t="s">
        <v>229</v>
      </c>
      <c r="L123" s="375"/>
      <c r="M123" s="370" t="s">
        <v>198</v>
      </c>
      <c r="N123" s="371"/>
      <c r="O123" s="35"/>
      <c r="P123" s="16"/>
    </row>
    <row r="124" spans="1:17" x14ac:dyDescent="0.3">
      <c r="A124" s="233"/>
      <c r="B124" s="61"/>
      <c r="C124" s="61"/>
      <c r="D124" s="61"/>
      <c r="E124" s="61"/>
      <c r="F124" s="61"/>
      <c r="G124" s="61"/>
      <c r="H124" s="61"/>
      <c r="I124" s="239"/>
      <c r="J124" s="35"/>
      <c r="K124" s="374"/>
      <c r="L124" s="375"/>
      <c r="M124" s="372"/>
      <c r="N124" s="373"/>
      <c r="O124" s="35"/>
      <c r="P124" s="16"/>
    </row>
    <row r="125" spans="1:17" x14ac:dyDescent="0.3">
      <c r="A125" s="233"/>
      <c r="B125" s="61"/>
      <c r="C125" s="61"/>
      <c r="D125" s="61"/>
      <c r="E125" s="61"/>
      <c r="F125" s="61"/>
      <c r="G125" s="61"/>
      <c r="H125" s="61"/>
      <c r="I125" s="239"/>
      <c r="J125" s="35"/>
      <c r="K125" s="189"/>
      <c r="L125" s="189"/>
      <c r="M125" s="189"/>
      <c r="N125" s="189"/>
      <c r="O125" s="35"/>
      <c r="P125" s="16"/>
    </row>
    <row r="126" spans="1:17" x14ac:dyDescent="0.3">
      <c r="A126" s="233"/>
      <c r="B126" s="61"/>
      <c r="C126" s="61"/>
      <c r="D126" s="61"/>
      <c r="E126" s="61"/>
      <c r="F126" s="61"/>
      <c r="G126" s="61"/>
      <c r="H126" s="61"/>
      <c r="I126" s="239"/>
      <c r="J126" s="35"/>
      <c r="K126" s="124"/>
      <c r="L126" s="124"/>
      <c r="M126" s="124"/>
      <c r="N126" s="124"/>
      <c r="O126" s="35"/>
      <c r="P126" s="16"/>
    </row>
    <row r="127" spans="1:17" ht="13.5" thickBot="1" x14ac:dyDescent="0.35">
      <c r="A127" s="233"/>
      <c r="B127" s="61"/>
      <c r="C127" s="61"/>
      <c r="D127" s="61"/>
      <c r="E127" s="61"/>
      <c r="F127" s="61"/>
      <c r="G127" s="61"/>
      <c r="H127" s="61"/>
      <c r="I127" s="239"/>
      <c r="J127" s="35"/>
      <c r="K127" s="124"/>
      <c r="L127" s="124"/>
      <c r="M127" s="196" t="s">
        <v>101</v>
      </c>
      <c r="N127" s="196" t="s">
        <v>100</v>
      </c>
      <c r="O127" s="35"/>
      <c r="P127" s="16"/>
    </row>
    <row r="128" spans="1:17" ht="13.5" thickBot="1" x14ac:dyDescent="0.35">
      <c r="A128" s="233"/>
      <c r="B128" s="61"/>
      <c r="C128" s="64"/>
      <c r="D128" s="61"/>
      <c r="E128" s="130" t="s">
        <v>101</v>
      </c>
      <c r="F128" s="130" t="s">
        <v>100</v>
      </c>
      <c r="G128" s="61"/>
      <c r="H128" s="61"/>
      <c r="I128" s="239"/>
      <c r="J128" s="35"/>
      <c r="K128" s="35"/>
      <c r="L128" s="39" t="s">
        <v>300</v>
      </c>
      <c r="M128" s="296">
        <f>'Forutsetninger og beregninger'!H391</f>
        <v>0</v>
      </c>
      <c r="N128" s="296">
        <f>'Forutsetninger og beregninger'!J391</f>
        <v>0</v>
      </c>
      <c r="O128" s="292" t="s">
        <v>364</v>
      </c>
      <c r="P128" s="16"/>
    </row>
    <row r="129" spans="1:16" ht="13.5" thickBot="1" x14ac:dyDescent="0.35">
      <c r="A129" s="233"/>
      <c r="B129" s="61"/>
      <c r="C129" s="61"/>
      <c r="D129" s="65" t="s">
        <v>300</v>
      </c>
      <c r="E129" s="295">
        <f>'Forutsetninger og beregninger'!G379</f>
        <v>0</v>
      </c>
      <c r="F129" s="295">
        <f>'Forutsetninger og beregninger'!I379</f>
        <v>0</v>
      </c>
      <c r="G129" s="294" t="s">
        <v>364</v>
      </c>
      <c r="H129" s="61"/>
      <c r="I129" s="239"/>
      <c r="J129" s="35"/>
      <c r="K129" s="35"/>
      <c r="L129" s="39" t="s">
        <v>51</v>
      </c>
      <c r="M129" s="293" t="e">
        <f>1-(M128/E129)</f>
        <v>#DIV/0!</v>
      </c>
      <c r="N129" s="293" t="e">
        <f>1-(N128/F129)</f>
        <v>#DIV/0!</v>
      </c>
      <c r="O129" s="292"/>
      <c r="P129" s="16"/>
    </row>
    <row r="130" spans="1:16" x14ac:dyDescent="0.3">
      <c r="A130" s="233"/>
      <c r="B130" s="61"/>
      <c r="C130" s="61"/>
      <c r="D130" s="61"/>
      <c r="E130" s="61"/>
      <c r="F130" s="61"/>
      <c r="G130" s="61"/>
      <c r="H130" s="61"/>
      <c r="I130" s="239"/>
      <c r="J130" s="35"/>
      <c r="K130" s="35"/>
      <c r="L130" s="39"/>
      <c r="M130" s="35"/>
      <c r="N130" s="35"/>
      <c r="O130" s="35"/>
      <c r="P130" s="16"/>
    </row>
    <row r="131" spans="1:16" x14ac:dyDescent="0.3">
      <c r="A131" s="16"/>
      <c r="B131" s="16"/>
      <c r="C131" s="16"/>
      <c r="D131" s="16"/>
      <c r="E131" s="16"/>
      <c r="F131" s="16"/>
      <c r="G131" s="16"/>
      <c r="H131" s="16"/>
      <c r="I131" s="16"/>
      <c r="J131" s="16"/>
      <c r="K131" s="16"/>
      <c r="L131" s="40"/>
      <c r="M131" s="41"/>
      <c r="N131" s="16"/>
      <c r="O131" s="16"/>
      <c r="P131" s="16"/>
    </row>
  </sheetData>
  <sheetProtection algorithmName="SHA-512" hashValue="O94hg4CcU2mSNg/11CC+lpP5Oap7A/gUFir98wB/z4vM5+NjdZQEUmyQKC5l7+MfK4U4i1mV4FY2xzPXW0r1MA==" saltValue="2xvTN59xhodvQAAx/GZ3qg==" spinCount="100000" sheet="1" objects="1" scenarios="1"/>
  <mergeCells count="68">
    <mergeCell ref="K26:N26"/>
    <mergeCell ref="J28:L28"/>
    <mergeCell ref="K31:N34"/>
    <mergeCell ref="K84:N84"/>
    <mergeCell ref="K86:L86"/>
    <mergeCell ref="M86:N86"/>
    <mergeCell ref="M61:N62"/>
    <mergeCell ref="C29:D29"/>
    <mergeCell ref="C28:D28"/>
    <mergeCell ref="C35:D35"/>
    <mergeCell ref="C117:G117"/>
    <mergeCell ref="C108:D108"/>
    <mergeCell ref="C107:D107"/>
    <mergeCell ref="C106:D106"/>
    <mergeCell ref="C105:D105"/>
    <mergeCell ref="C109:D109"/>
    <mergeCell ref="C104:D104"/>
    <mergeCell ref="C103:D103"/>
    <mergeCell ref="C100:G100"/>
    <mergeCell ref="E47:G47"/>
    <mergeCell ref="C80:G83"/>
    <mergeCell ref="C44:G45"/>
    <mergeCell ref="C26:G26"/>
    <mergeCell ref="C9:M9"/>
    <mergeCell ref="K44:N45"/>
    <mergeCell ref="K81:L81"/>
    <mergeCell ref="C11:D11"/>
    <mergeCell ref="E11:G11"/>
    <mergeCell ref="E12:G12"/>
    <mergeCell ref="D19:F19"/>
    <mergeCell ref="C34:D34"/>
    <mergeCell ref="C33:D33"/>
    <mergeCell ref="C32:D32"/>
    <mergeCell ref="C31:D31"/>
    <mergeCell ref="K61:L61"/>
    <mergeCell ref="K60:N60"/>
    <mergeCell ref="K46:L46"/>
    <mergeCell ref="C30:D30"/>
    <mergeCell ref="C60:G63"/>
    <mergeCell ref="A2:P2"/>
    <mergeCell ref="M81:N81"/>
    <mergeCell ref="K49:N49"/>
    <mergeCell ref="K51:L51"/>
    <mergeCell ref="K80:N80"/>
    <mergeCell ref="C47:D47"/>
    <mergeCell ref="C37:G37"/>
    <mergeCell ref="C4:N4"/>
    <mergeCell ref="D20:F20"/>
    <mergeCell ref="D17:F17"/>
    <mergeCell ref="D15:F15"/>
    <mergeCell ref="M51:N51"/>
    <mergeCell ref="C14:F14"/>
    <mergeCell ref="D16:F16"/>
    <mergeCell ref="D18:F18"/>
    <mergeCell ref="C118:G123"/>
    <mergeCell ref="M90:N90"/>
    <mergeCell ref="K100:N100"/>
    <mergeCell ref="K65:N67"/>
    <mergeCell ref="K119:N120"/>
    <mergeCell ref="M123:N124"/>
    <mergeCell ref="K123:L124"/>
    <mergeCell ref="M88:N88"/>
    <mergeCell ref="K105:L105"/>
    <mergeCell ref="K99:N99"/>
    <mergeCell ref="K102:L102"/>
    <mergeCell ref="K103:N103"/>
    <mergeCell ref="K88:L88"/>
    <mergeCell ref="K90:L90"/>
  </mergeCells>
  <pageMargins left="0.7" right="0.7" top="0.75" bottom="0.75" header="0.3" footer="0.3"/>
  <pageSetup paperSize="9" scale="62" fitToHeight="0" orientation="portrait" horizontalDpi="4294967293" verticalDpi="0" r:id="rId1"/>
  <extLst>
    <ext xmlns:x14="http://schemas.microsoft.com/office/spreadsheetml/2009/9/main" uri="{CCE6A557-97BC-4b89-ADB6-D9C93CAAB3DF}">
      <x14:dataValidations xmlns:xm="http://schemas.microsoft.com/office/excel/2006/main" count="12">
        <x14:dataValidation type="list" showInputMessage="1" showErrorMessage="1">
          <x14:formula1>
            <xm:f>'Forutsetninger og beregninger'!$C$60:$C$62</xm:f>
          </x14:formula1>
          <xm:sqref>M36</xm:sqref>
        </x14:dataValidation>
        <x14:dataValidation type="list" allowBlank="1" showInputMessage="1" showErrorMessage="1">
          <x14:formula1>
            <xm:f>'Forutsetninger og beregninger'!$C$44:$C$48</xm:f>
          </x14:formula1>
          <xm:sqref>M28</xm:sqref>
        </x14:dataValidation>
        <x14:dataValidation type="list" showInputMessage="1" showErrorMessage="1">
          <x14:formula1>
            <xm:f>'Forutsetninger og beregninger'!$C$75:$C$77</xm:f>
          </x14:formula1>
          <xm:sqref>M51</xm:sqref>
        </x14:dataValidation>
        <x14:dataValidation type="list" showInputMessage="1" showErrorMessage="1">
          <x14:formula1>
            <xm:f>'Forutsetninger og beregninger'!$C$184:$C$185</xm:f>
          </x14:formula1>
          <xm:sqref>M86:N86</xm:sqref>
        </x14:dataValidation>
        <x14:dataValidation type="list" allowBlank="1" showInputMessage="1" showErrorMessage="1">
          <x14:formula1>
            <xm:f>'Forutsetninger og beregninger'!$D$82:$D$96</xm:f>
          </x14:formula1>
          <xm:sqref>M46</xm:sqref>
        </x14:dataValidation>
        <x14:dataValidation type="list" allowBlank="1" showInputMessage="1" showErrorMessage="1">
          <x14:formula1>
            <xm:f>'Forutsetninger og beregninger'!$D$293:$D$302</xm:f>
          </x14:formula1>
          <xm:sqref>M102</xm:sqref>
        </x14:dataValidation>
        <x14:dataValidation type="list" showInputMessage="1" showErrorMessage="1">
          <x14:formula1>
            <xm:f>'Forutsetninger og beregninger'!$C$197:$C$200</xm:f>
          </x14:formula1>
          <xm:sqref>M88:N88</xm:sqref>
        </x14:dataValidation>
        <x14:dataValidation type="list" showInputMessage="1" showErrorMessage="1">
          <x14:formula1>
            <xm:f>'Forutsetninger og beregninger'!$C$211:$C$212</xm:f>
          </x14:formula1>
          <xm:sqref>M90:N90</xm:sqref>
        </x14:dataValidation>
        <x14:dataValidation type="list" showInputMessage="1" showErrorMessage="1">
          <x14:formula1>
            <xm:f>'Forutsetninger og beregninger'!$C$139:$C$140</xm:f>
          </x14:formula1>
          <xm:sqref>M81</xm:sqref>
        </x14:dataValidation>
        <x14:dataValidation type="list" allowBlank="1" showInputMessage="1" showErrorMessage="1">
          <x14:formula1>
            <xm:f>'Forutsetninger og beregninger'!$D$120:$D$125</xm:f>
          </x14:formula1>
          <xm:sqref>M69</xm:sqref>
        </x14:dataValidation>
        <x14:dataValidation type="list" allowBlank="1" showInputMessage="1" showErrorMessage="1">
          <x14:formula1>
            <xm:f>'Forutsetninger og beregninger'!$C$337:$C$341</xm:f>
          </x14:formula1>
          <xm:sqref>M123:N124</xm:sqref>
        </x14:dataValidation>
        <x14:dataValidation type="list" showInputMessage="1" showErrorMessage="1">
          <x14:formula1>
            <xm:f>'Forutsetninger og beregninger'!$C$105:$C$107</xm:f>
          </x14:formula1>
          <xm:sqref>M61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J71"/>
  <sheetViews>
    <sheetView zoomScale="190" zoomScaleNormal="190" workbookViewId="0">
      <selection activeCell="K42" sqref="K42"/>
    </sheetView>
  </sheetViews>
  <sheetFormatPr baseColWidth="10" defaultColWidth="8.7265625" defaultRowHeight="14.5" x14ac:dyDescent="0.35"/>
  <cols>
    <col min="1" max="1" width="1.54296875" customWidth="1"/>
    <col min="2" max="2" width="1.81640625" customWidth="1"/>
    <col min="3" max="3" width="20" customWidth="1"/>
    <col min="4" max="4" width="15.1796875" customWidth="1"/>
    <col min="5" max="5" width="15.54296875" customWidth="1"/>
    <col min="6" max="6" width="10.26953125" customWidth="1"/>
    <col min="7" max="7" width="9" customWidth="1"/>
    <col min="8" max="8" width="9.1796875" customWidth="1"/>
    <col min="9" max="9" width="3" customWidth="1"/>
    <col min="10" max="10" width="1.54296875" customWidth="1"/>
  </cols>
  <sheetData>
    <row r="1" spans="1:10" ht="8.25" customHeight="1" thickBot="1" x14ac:dyDescent="0.4">
      <c r="A1" s="209"/>
      <c r="B1" s="209"/>
      <c r="C1" s="209"/>
      <c r="D1" s="209"/>
      <c r="E1" s="209"/>
      <c r="F1" s="209"/>
      <c r="G1" s="209"/>
      <c r="H1" s="209"/>
      <c r="I1" s="209"/>
      <c r="J1" s="209"/>
    </row>
    <row r="2" spans="1:10" ht="30" customHeight="1" x14ac:dyDescent="0.35">
      <c r="A2" s="210"/>
      <c r="B2" s="354" t="s">
        <v>65</v>
      </c>
      <c r="C2" s="354"/>
      <c r="D2" s="354"/>
      <c r="E2" s="354"/>
      <c r="F2" s="354"/>
      <c r="G2" s="210"/>
      <c r="H2" s="210"/>
      <c r="I2" s="210"/>
      <c r="J2" s="210"/>
    </row>
    <row r="3" spans="1:10" ht="15.75" customHeight="1" x14ac:dyDescent="0.35">
      <c r="A3" s="210"/>
      <c r="B3" s="357" t="s">
        <v>324</v>
      </c>
      <c r="C3" s="357"/>
      <c r="D3" s="355"/>
      <c r="E3" s="355"/>
      <c r="F3" s="355"/>
      <c r="G3" s="210"/>
      <c r="H3" s="210"/>
      <c r="I3" s="210"/>
      <c r="J3" s="210"/>
    </row>
    <row r="4" spans="1:10" ht="10.5" customHeight="1" thickBot="1" x14ac:dyDescent="0.4">
      <c r="A4" s="211"/>
      <c r="B4" s="356"/>
      <c r="C4" s="356"/>
      <c r="D4" s="356"/>
      <c r="E4" s="356"/>
      <c r="F4" s="356"/>
      <c r="G4" s="211"/>
      <c r="H4" s="211"/>
      <c r="I4" s="211"/>
      <c r="J4" s="211"/>
    </row>
    <row r="5" spans="1:10" ht="27" customHeight="1" thickBot="1" x14ac:dyDescent="0.4">
      <c r="A5" s="212"/>
      <c r="B5" s="212" t="s">
        <v>330</v>
      </c>
      <c r="C5" s="212"/>
      <c r="D5" s="212"/>
      <c r="E5" s="212"/>
      <c r="F5" s="212"/>
      <c r="G5" s="212"/>
      <c r="H5" s="212"/>
      <c r="I5" s="212"/>
      <c r="J5" s="212"/>
    </row>
    <row r="6" spans="1:10" x14ac:dyDescent="0.35">
      <c r="A6" s="213"/>
      <c r="B6" s="213"/>
      <c r="C6" s="213"/>
      <c r="D6" s="213"/>
      <c r="E6" s="213"/>
      <c r="F6" s="213"/>
      <c r="G6" s="213"/>
      <c r="H6" s="213"/>
      <c r="I6" s="213"/>
      <c r="J6" s="213"/>
    </row>
    <row r="7" spans="1:10" ht="15" customHeight="1" x14ac:dyDescent="0.35">
      <c r="A7" s="213"/>
      <c r="B7" s="213"/>
      <c r="C7" s="214" t="s">
        <v>201</v>
      </c>
      <c r="D7" s="215" t="str">
        <f>Utbyggingsinformasjon!E11</f>
        <v>Fyll inn navn</v>
      </c>
      <c r="E7" s="215"/>
      <c r="F7" s="215"/>
      <c r="G7" s="213"/>
      <c r="H7" s="213"/>
      <c r="I7" s="213"/>
      <c r="J7" s="213"/>
    </row>
    <row r="8" spans="1:10" x14ac:dyDescent="0.35">
      <c r="A8" s="213"/>
      <c r="B8" s="213"/>
      <c r="C8" s="214" t="s">
        <v>202</v>
      </c>
      <c r="D8" s="227" t="str">
        <f>Utbyggingsinformasjon!E12</f>
        <v>Fyll inn dato</v>
      </c>
      <c r="E8" s="215"/>
      <c r="F8" s="215"/>
      <c r="G8" s="213"/>
      <c r="H8" s="213"/>
      <c r="I8" s="213"/>
      <c r="J8" s="213"/>
    </row>
    <row r="9" spans="1:10" ht="15" thickBot="1" x14ac:dyDescent="0.4">
      <c r="A9" s="216"/>
      <c r="B9" s="216"/>
      <c r="C9" s="216"/>
      <c r="D9" s="216"/>
      <c r="E9" s="216"/>
      <c r="F9" s="216"/>
      <c r="G9" s="216"/>
      <c r="H9" s="216"/>
      <c r="I9" s="216"/>
      <c r="J9" s="216"/>
    </row>
    <row r="10" spans="1:10" ht="25.5" customHeight="1" thickBot="1" x14ac:dyDescent="0.4">
      <c r="A10" s="212"/>
      <c r="B10" s="212" t="s">
        <v>203</v>
      </c>
      <c r="C10" s="212"/>
      <c r="D10" s="212"/>
      <c r="E10" s="212"/>
      <c r="F10" s="212"/>
      <c r="G10" s="212"/>
      <c r="H10" s="212"/>
      <c r="I10" s="212"/>
      <c r="J10" s="212"/>
    </row>
    <row r="11" spans="1:10" x14ac:dyDescent="0.35">
      <c r="A11" s="213"/>
      <c r="B11" s="213"/>
      <c r="C11" s="213"/>
      <c r="D11" s="213"/>
      <c r="E11" s="213"/>
      <c r="F11" s="213"/>
      <c r="G11" s="213"/>
      <c r="H11" s="213"/>
      <c r="I11" s="213"/>
      <c r="J11" s="213"/>
    </row>
    <row r="12" spans="1:10" x14ac:dyDescent="0.35">
      <c r="A12" s="213"/>
      <c r="B12" s="213"/>
      <c r="C12" s="217"/>
      <c r="D12" s="214" t="s">
        <v>204</v>
      </c>
      <c r="E12" s="214"/>
      <c r="F12" s="214" t="s">
        <v>205</v>
      </c>
      <c r="G12" s="214"/>
      <c r="H12" s="213"/>
      <c r="I12" s="213"/>
      <c r="J12" s="213"/>
    </row>
    <row r="13" spans="1:10" ht="15" x14ac:dyDescent="0.35">
      <c r="A13" s="213"/>
      <c r="B13" s="213"/>
      <c r="C13" s="218" t="s">
        <v>317</v>
      </c>
      <c r="D13" s="300">
        <f>Utbyggingsinformasjon!E35</f>
        <v>0</v>
      </c>
      <c r="E13" s="301"/>
      <c r="F13" s="300">
        <f>Utbyggingsinformasjon!E35-(1*Utbyggingsinformasjon!M28)</f>
        <v>0</v>
      </c>
      <c r="G13" s="221"/>
      <c r="H13" s="221"/>
      <c r="I13" s="213"/>
      <c r="J13" s="213"/>
    </row>
    <row r="14" spans="1:10" x14ac:dyDescent="0.35">
      <c r="A14" s="213"/>
      <c r="B14" s="213"/>
      <c r="C14" s="218" t="s">
        <v>17</v>
      </c>
      <c r="D14" s="219" t="s">
        <v>46</v>
      </c>
      <c r="E14" s="220"/>
      <c r="F14" s="220" t="str">
        <f>Utbyggingsinformasjon!M36</f>
        <v>Lavkarbon B (default)</v>
      </c>
      <c r="G14" s="221"/>
      <c r="H14" s="221"/>
      <c r="I14" s="213"/>
      <c r="J14" s="213"/>
    </row>
    <row r="15" spans="1:10" ht="15" x14ac:dyDescent="0.35">
      <c r="A15" s="213"/>
      <c r="B15" s="213"/>
      <c r="C15" s="218" t="s">
        <v>318</v>
      </c>
      <c r="D15" s="300">
        <f>Utbyggingsinformasjon!E47</f>
        <v>0</v>
      </c>
      <c r="E15" s="301"/>
      <c r="F15" s="300">
        <f>Utbyggingsinformasjon!M47</f>
        <v>0</v>
      </c>
      <c r="G15" s="221"/>
      <c r="H15" s="221"/>
      <c r="I15" s="213"/>
      <c r="J15" s="213"/>
    </row>
    <row r="16" spans="1:10" x14ac:dyDescent="0.35">
      <c r="A16" s="213"/>
      <c r="B16" s="213"/>
      <c r="C16" s="218" t="s">
        <v>22</v>
      </c>
      <c r="D16" s="219" t="s">
        <v>78</v>
      </c>
      <c r="E16" s="220"/>
      <c r="F16" s="222" t="str">
        <f>Utbyggingsinformasjon!M51</f>
        <v>Asfaltgrusbetong (default)</v>
      </c>
      <c r="G16" s="221"/>
      <c r="H16" s="221"/>
      <c r="I16" s="213"/>
      <c r="J16" s="213"/>
    </row>
    <row r="17" spans="1:10" x14ac:dyDescent="0.35">
      <c r="A17" s="213"/>
      <c r="B17" s="213"/>
      <c r="C17" s="218" t="s">
        <v>264</v>
      </c>
      <c r="D17" s="219" t="s">
        <v>158</v>
      </c>
      <c r="E17" s="220"/>
      <c r="F17" s="222" t="str">
        <f>Utbyggingsinformasjon!M61</f>
        <v>Byggeplass med fossil diesel (default)</v>
      </c>
      <c r="G17" s="221"/>
      <c r="H17" s="221"/>
      <c r="I17" s="213"/>
      <c r="J17" s="213"/>
    </row>
    <row r="18" spans="1:10" x14ac:dyDescent="0.35">
      <c r="A18" s="213"/>
      <c r="B18" s="213"/>
      <c r="C18" s="218" t="s">
        <v>265</v>
      </c>
      <c r="D18" s="300">
        <f>Utbyggingsinformasjon!F65</f>
        <v>0</v>
      </c>
      <c r="E18" s="301"/>
      <c r="F18" s="300">
        <f>Utbyggingsinformasjon!M70</f>
        <v>0</v>
      </c>
      <c r="G18" s="221"/>
      <c r="H18" s="221"/>
      <c r="I18" s="213"/>
      <c r="J18" s="213"/>
    </row>
    <row r="19" spans="1:10" x14ac:dyDescent="0.35">
      <c r="A19" s="213"/>
      <c r="B19" s="213"/>
      <c r="C19" s="218" t="s">
        <v>206</v>
      </c>
      <c r="D19" s="219" t="s">
        <v>45</v>
      </c>
      <c r="E19" s="220"/>
      <c r="F19" s="222" t="str">
        <f>Utbyggingsinformasjon!M81</f>
        <v>TEK17 (default)</v>
      </c>
      <c r="G19" s="220"/>
      <c r="H19" s="221"/>
      <c r="I19" s="213"/>
      <c r="J19" s="213"/>
    </row>
    <row r="20" spans="1:10" x14ac:dyDescent="0.35">
      <c r="A20" s="213"/>
      <c r="B20" s="213"/>
      <c r="C20" s="218" t="s">
        <v>207</v>
      </c>
      <c r="D20" s="219" t="s">
        <v>208</v>
      </c>
      <c r="E20" s="220"/>
      <c r="F20" s="222" t="str">
        <f>Utbyggingsinformasjon!M86</f>
        <v>Strøm</v>
      </c>
      <c r="G20" s="220"/>
      <c r="H20" s="221"/>
      <c r="I20" s="213"/>
      <c r="J20" s="213"/>
    </row>
    <row r="21" spans="1:10" x14ac:dyDescent="0.35">
      <c r="A21" s="213"/>
      <c r="B21" s="213"/>
      <c r="C21" s="218" t="s">
        <v>209</v>
      </c>
      <c r="D21" s="219" t="s">
        <v>210</v>
      </c>
      <c r="E21" s="220"/>
      <c r="F21" s="222" t="str">
        <f>Utbyggingsinformasjon!M88</f>
        <v>Strøm (panelovn/elkjel)</v>
      </c>
      <c r="G21" s="220"/>
      <c r="H21" s="221"/>
      <c r="I21" s="213"/>
      <c r="J21" s="213"/>
    </row>
    <row r="22" spans="1:10" x14ac:dyDescent="0.35">
      <c r="A22" s="213"/>
      <c r="B22" s="213"/>
      <c r="C22" s="218" t="s">
        <v>320</v>
      </c>
      <c r="D22" s="219" t="s">
        <v>269</v>
      </c>
      <c r="E22" s="220"/>
      <c r="F22" s="222" t="str">
        <f>Utbyggingsinformasjon!M90</f>
        <v>Kjølemaskin</v>
      </c>
      <c r="G22" s="220"/>
      <c r="H22" s="221"/>
      <c r="I22" s="213"/>
      <c r="J22" s="213"/>
    </row>
    <row r="23" spans="1:10" ht="15" x14ac:dyDescent="0.35">
      <c r="A23" s="213"/>
      <c r="B23" s="213"/>
      <c r="C23" s="218" t="s">
        <v>319</v>
      </c>
      <c r="D23" s="300">
        <f>Utbyggingsinformasjon!E109</f>
        <v>0</v>
      </c>
      <c r="E23" s="301"/>
      <c r="F23" s="300">
        <f>Utbyggingsinformasjon!E109-Utbyggingsinformasjon!E109*Utbyggingsinformasjon!M102</f>
        <v>0</v>
      </c>
      <c r="G23" s="220"/>
      <c r="H23" s="220"/>
      <c r="I23" s="213"/>
      <c r="J23" s="213"/>
    </row>
    <row r="24" spans="1:10" x14ac:dyDescent="0.35">
      <c r="A24" s="213"/>
      <c r="B24" s="213"/>
      <c r="C24" s="218" t="s">
        <v>211</v>
      </c>
      <c r="D24" s="220" t="s">
        <v>212</v>
      </c>
      <c r="E24" s="220"/>
      <c r="F24" s="220" t="str">
        <f>Utbyggingsinformasjon!M123</f>
        <v>Ingen restriksjoner (default)</v>
      </c>
      <c r="G24" s="220"/>
      <c r="H24" s="220"/>
      <c r="I24" s="213"/>
      <c r="J24" s="213"/>
    </row>
    <row r="25" spans="1:10" ht="15" thickBot="1" x14ac:dyDescent="0.4">
      <c r="A25" s="213"/>
      <c r="B25" s="213"/>
      <c r="C25" s="213"/>
      <c r="D25" s="213"/>
      <c r="E25" s="213"/>
      <c r="F25" s="213"/>
      <c r="G25" s="213"/>
      <c r="H25" s="213"/>
      <c r="I25" s="213"/>
      <c r="J25" s="213"/>
    </row>
    <row r="26" spans="1:10" ht="27" customHeight="1" thickBot="1" x14ac:dyDescent="0.4">
      <c r="A26" s="209"/>
      <c r="B26" s="209" t="s">
        <v>213</v>
      </c>
      <c r="C26" s="209"/>
      <c r="D26" s="209"/>
      <c r="E26" s="209"/>
      <c r="F26" s="209"/>
      <c r="G26" s="209"/>
      <c r="H26" s="209"/>
      <c r="I26" s="209"/>
      <c r="J26" s="209"/>
    </row>
    <row r="27" spans="1:10" x14ac:dyDescent="0.35">
      <c r="A27" s="213"/>
      <c r="B27" s="213"/>
      <c r="C27" s="213"/>
      <c r="D27" s="213"/>
      <c r="E27" s="213"/>
      <c r="F27" s="213"/>
      <c r="G27" s="213"/>
      <c r="H27" s="213"/>
      <c r="I27" s="213"/>
      <c r="J27" s="213"/>
    </row>
    <row r="28" spans="1:10" x14ac:dyDescent="0.35">
      <c r="A28" s="213"/>
      <c r="B28" s="213"/>
      <c r="C28" s="214" t="s">
        <v>214</v>
      </c>
      <c r="D28" s="213"/>
      <c r="E28" s="253" t="s">
        <v>204</v>
      </c>
      <c r="F28" s="429" t="s">
        <v>205</v>
      </c>
      <c r="G28" s="429"/>
      <c r="H28" s="223"/>
      <c r="I28" s="213"/>
      <c r="J28" s="213"/>
    </row>
    <row r="29" spans="1:10" x14ac:dyDescent="0.35">
      <c r="A29" s="213"/>
      <c r="B29" s="213"/>
      <c r="C29" s="220" t="s">
        <v>149</v>
      </c>
      <c r="D29" s="221"/>
      <c r="E29" s="252">
        <f>Utbyggingsinformasjon!F38+Utbyggingsinformasjon!F53</f>
        <v>0</v>
      </c>
      <c r="F29" s="427">
        <f>Utbyggingsinformasjon!M38+Utbyggingsinformasjon!M53</f>
        <v>0</v>
      </c>
      <c r="G29" s="427"/>
      <c r="H29" s="221"/>
      <c r="I29" s="213"/>
      <c r="J29" s="213"/>
    </row>
    <row r="30" spans="1:10" x14ac:dyDescent="0.35">
      <c r="A30" s="213"/>
      <c r="B30" s="213"/>
      <c r="C30" s="220" t="s">
        <v>159</v>
      </c>
      <c r="D30" s="221"/>
      <c r="E30" s="252">
        <f>Utbyggingsinformasjon!E73</f>
        <v>0</v>
      </c>
      <c r="F30" s="427">
        <f>Utbyggingsinformasjon!M73</f>
        <v>0</v>
      </c>
      <c r="G30" s="427"/>
      <c r="H30" s="221"/>
      <c r="I30" s="213"/>
      <c r="J30" s="213"/>
    </row>
    <row r="31" spans="1:10" x14ac:dyDescent="0.35">
      <c r="A31" s="213"/>
      <c r="B31" s="213"/>
      <c r="C31" s="220" t="s">
        <v>146</v>
      </c>
      <c r="D31" s="221"/>
      <c r="E31" s="252">
        <f>Utbyggingsinformasjon!F93</f>
        <v>0</v>
      </c>
      <c r="F31" s="427">
        <f>Utbyggingsinformasjon!N93</f>
        <v>0</v>
      </c>
      <c r="G31" s="427"/>
      <c r="H31" s="221"/>
      <c r="I31" s="213"/>
      <c r="J31" s="213"/>
    </row>
    <row r="32" spans="1:10" x14ac:dyDescent="0.35">
      <c r="A32" s="213"/>
      <c r="B32" s="213"/>
      <c r="C32" s="220" t="s">
        <v>147</v>
      </c>
      <c r="D32" s="221"/>
      <c r="E32" s="252">
        <f>Utbyggingsinformasjon!F111</f>
        <v>0</v>
      </c>
      <c r="F32" s="427">
        <f>Utbyggingsinformasjon!M111</f>
        <v>0</v>
      </c>
      <c r="G32" s="427"/>
      <c r="H32" s="221"/>
      <c r="I32" s="213"/>
      <c r="J32" s="213"/>
    </row>
    <row r="33" spans="1:10" x14ac:dyDescent="0.35">
      <c r="A33" s="213"/>
      <c r="B33" s="213"/>
      <c r="C33" s="220" t="s">
        <v>148</v>
      </c>
      <c r="D33" s="221"/>
      <c r="E33" s="252">
        <f>Utbyggingsinformasjon!F129</f>
        <v>0</v>
      </c>
      <c r="F33" s="427">
        <f>Utbyggingsinformasjon!N128</f>
        <v>0</v>
      </c>
      <c r="G33" s="427"/>
      <c r="H33" s="221"/>
      <c r="I33" s="213"/>
      <c r="J33" s="213"/>
    </row>
    <row r="34" spans="1:10" ht="15" x14ac:dyDescent="0.4">
      <c r="A34" s="213"/>
      <c r="B34" s="213"/>
      <c r="C34" s="255" t="s">
        <v>232</v>
      </c>
      <c r="D34" s="258"/>
      <c r="E34" s="257">
        <f>SUM(E29:E33)</f>
        <v>0</v>
      </c>
      <c r="F34" s="426">
        <f>SUM(F29:F33)</f>
        <v>0</v>
      </c>
      <c r="G34" s="426"/>
      <c r="H34" s="221"/>
      <c r="I34" s="213"/>
      <c r="J34" s="213"/>
    </row>
    <row r="35" spans="1:10" ht="15.5" x14ac:dyDescent="0.4">
      <c r="A35" s="213"/>
      <c r="B35" s="213"/>
      <c r="C35" s="255" t="s">
        <v>263</v>
      </c>
      <c r="D35" s="258"/>
      <c r="E35" s="298" t="e">
        <f>E34/D13</f>
        <v>#DIV/0!</v>
      </c>
      <c r="F35" s="428" t="e">
        <f>F34/F13</f>
        <v>#DIV/0!</v>
      </c>
      <c r="G35" s="428"/>
      <c r="H35" s="221"/>
      <c r="I35" s="213"/>
      <c r="J35" s="213"/>
    </row>
    <row r="36" spans="1:10" x14ac:dyDescent="0.35">
      <c r="A36" s="213"/>
      <c r="B36" s="213"/>
      <c r="C36" s="213"/>
      <c r="D36" s="213"/>
      <c r="E36" s="213"/>
      <c r="F36" s="213"/>
      <c r="G36" s="213"/>
      <c r="H36" s="213"/>
      <c r="I36" s="213"/>
      <c r="J36" s="213"/>
    </row>
    <row r="37" spans="1:10" ht="17.25" customHeight="1" x14ac:dyDescent="0.45">
      <c r="A37" s="213"/>
      <c r="B37" s="213"/>
      <c r="C37" s="221" t="s">
        <v>215</v>
      </c>
      <c r="D37" s="221"/>
      <c r="E37" s="254" t="e">
        <f>F35-E35</f>
        <v>#DIV/0!</v>
      </c>
      <c r="F37" s="224" t="s">
        <v>233</v>
      </c>
      <c r="G37" s="225" t="s">
        <v>216</v>
      </c>
      <c r="H37" s="226" t="e">
        <f>(F35-E35)/E35</f>
        <v>#DIV/0!</v>
      </c>
      <c r="I37" s="213"/>
      <c r="J37" s="213"/>
    </row>
    <row r="38" spans="1:10" x14ac:dyDescent="0.35">
      <c r="A38" s="213"/>
      <c r="B38" s="213"/>
      <c r="C38" s="213"/>
      <c r="D38" s="213"/>
      <c r="E38" s="213"/>
      <c r="F38" s="213"/>
      <c r="G38" s="213"/>
      <c r="H38" s="213"/>
      <c r="I38" s="213"/>
      <c r="J38" s="213"/>
    </row>
    <row r="39" spans="1:10" x14ac:dyDescent="0.35">
      <c r="A39" s="213"/>
      <c r="B39" s="213"/>
      <c r="C39" s="213"/>
      <c r="D39" s="213"/>
      <c r="E39" s="213"/>
      <c r="F39" s="213"/>
      <c r="G39" s="213"/>
      <c r="H39" s="213"/>
      <c r="I39" s="213"/>
      <c r="J39" s="213"/>
    </row>
    <row r="40" spans="1:10" x14ac:dyDescent="0.35">
      <c r="A40" s="213"/>
      <c r="B40" s="213"/>
      <c r="C40" s="213"/>
      <c r="D40" s="213"/>
      <c r="E40" s="213"/>
      <c r="F40" s="213"/>
      <c r="G40" s="213"/>
      <c r="H40" s="213"/>
      <c r="I40" s="213"/>
      <c r="J40" s="213"/>
    </row>
    <row r="41" spans="1:10" x14ac:dyDescent="0.35">
      <c r="A41" s="213"/>
      <c r="B41" s="213"/>
      <c r="C41" s="213"/>
      <c r="D41" s="213"/>
      <c r="E41" s="213"/>
      <c r="F41" s="213"/>
      <c r="G41" s="213"/>
      <c r="H41" s="213"/>
      <c r="I41" s="213"/>
      <c r="J41" s="213"/>
    </row>
    <row r="42" spans="1:10" x14ac:dyDescent="0.35">
      <c r="A42" s="213"/>
      <c r="B42" s="213"/>
      <c r="C42" s="213"/>
      <c r="D42" s="213"/>
      <c r="E42" s="213"/>
      <c r="F42" s="213"/>
      <c r="G42" s="213"/>
      <c r="H42" s="213"/>
      <c r="I42" s="213"/>
      <c r="J42" s="213"/>
    </row>
    <row r="43" spans="1:10" x14ac:dyDescent="0.35">
      <c r="A43" s="213"/>
      <c r="B43" s="213"/>
      <c r="C43" s="213"/>
      <c r="D43" s="213"/>
      <c r="E43" s="213"/>
      <c r="F43" s="213"/>
      <c r="G43" s="213"/>
      <c r="H43" s="213"/>
      <c r="I43" s="213"/>
      <c r="J43" s="213"/>
    </row>
    <row r="44" spans="1:10" x14ac:dyDescent="0.35">
      <c r="A44" s="213"/>
      <c r="B44" s="213"/>
      <c r="C44" s="213"/>
      <c r="D44" s="213"/>
      <c r="E44" s="213"/>
      <c r="F44" s="213"/>
      <c r="G44" s="213"/>
      <c r="H44" s="213"/>
      <c r="I44" s="213"/>
      <c r="J44" s="213"/>
    </row>
    <row r="45" spans="1:10" x14ac:dyDescent="0.35">
      <c r="A45" s="213"/>
      <c r="B45" s="213"/>
      <c r="C45" s="213"/>
      <c r="D45" s="213"/>
      <c r="E45" s="213"/>
      <c r="F45" s="213"/>
      <c r="G45" s="213"/>
      <c r="H45" s="213"/>
      <c r="I45" s="213"/>
      <c r="J45" s="213"/>
    </row>
    <row r="46" spans="1:10" x14ac:dyDescent="0.35">
      <c r="A46" s="213"/>
      <c r="B46" s="213"/>
      <c r="C46" s="213"/>
      <c r="D46" s="213"/>
      <c r="E46" s="213"/>
      <c r="F46" s="213"/>
      <c r="G46" s="213"/>
      <c r="H46" s="213"/>
      <c r="I46" s="213"/>
      <c r="J46" s="213"/>
    </row>
    <row r="47" spans="1:10" x14ac:dyDescent="0.35">
      <c r="A47" s="213"/>
      <c r="B47" s="213"/>
      <c r="C47" s="213"/>
      <c r="D47" s="213"/>
      <c r="E47" s="213"/>
      <c r="F47" s="213"/>
      <c r="G47" s="213"/>
      <c r="H47" s="213"/>
      <c r="I47" s="213"/>
      <c r="J47" s="213"/>
    </row>
    <row r="48" spans="1:10" x14ac:dyDescent="0.35">
      <c r="A48" s="213"/>
      <c r="B48" s="213"/>
      <c r="C48" s="213"/>
      <c r="D48" s="213"/>
      <c r="E48" s="213"/>
      <c r="F48" s="213"/>
      <c r="G48" s="213"/>
      <c r="H48" s="213"/>
      <c r="I48" s="213"/>
      <c r="J48" s="213"/>
    </row>
    <row r="49" spans="1:10" x14ac:dyDescent="0.35">
      <c r="A49" s="213"/>
      <c r="B49" s="213"/>
      <c r="C49" s="213"/>
      <c r="D49" s="213"/>
      <c r="E49" s="213"/>
      <c r="F49" s="213"/>
      <c r="G49" s="213"/>
      <c r="H49" s="213"/>
      <c r="I49" s="213"/>
      <c r="J49" s="213"/>
    </row>
    <row r="50" spans="1:10" x14ac:dyDescent="0.35">
      <c r="A50" s="213"/>
      <c r="B50" s="213"/>
      <c r="C50" s="214" t="s">
        <v>217</v>
      </c>
      <c r="D50" s="213"/>
      <c r="E50" s="253" t="s">
        <v>204</v>
      </c>
      <c r="F50" s="429" t="s">
        <v>205</v>
      </c>
      <c r="G50" s="429"/>
      <c r="H50" s="213"/>
      <c r="I50" s="213"/>
      <c r="J50" s="213"/>
    </row>
    <row r="51" spans="1:10" x14ac:dyDescent="0.35">
      <c r="A51" s="213"/>
      <c r="B51" s="213"/>
      <c r="C51" s="220" t="s">
        <v>149</v>
      </c>
      <c r="D51" s="221"/>
      <c r="E51" s="252">
        <f>Utbyggingsinformasjon!F38+Utbyggingsinformasjon!F53</f>
        <v>0</v>
      </c>
      <c r="F51" s="427">
        <f>Utbyggingsinformasjon!M38+Utbyggingsinformasjon!M53</f>
        <v>0</v>
      </c>
      <c r="G51" s="427"/>
      <c r="H51" s="221"/>
      <c r="I51" s="213"/>
      <c r="J51" s="213"/>
    </row>
    <row r="52" spans="1:10" x14ac:dyDescent="0.35">
      <c r="A52" s="213"/>
      <c r="B52" s="213"/>
      <c r="C52" s="220" t="s">
        <v>159</v>
      </c>
      <c r="D52" s="221"/>
      <c r="E52" s="252">
        <f>Utbyggingsinformasjon!E73</f>
        <v>0</v>
      </c>
      <c r="F52" s="427">
        <f>Utbyggingsinformasjon!M73</f>
        <v>0</v>
      </c>
      <c r="G52" s="427"/>
      <c r="H52" s="221"/>
      <c r="I52" s="213"/>
      <c r="J52" s="213"/>
    </row>
    <row r="53" spans="1:10" x14ac:dyDescent="0.35">
      <c r="A53" s="213"/>
      <c r="B53" s="213"/>
      <c r="C53" s="220" t="s">
        <v>146</v>
      </c>
      <c r="D53" s="221"/>
      <c r="E53" s="252">
        <f>Utbyggingsinformasjon!E93</f>
        <v>0</v>
      </c>
      <c r="F53" s="427">
        <f>Utbyggingsinformasjon!M93</f>
        <v>0</v>
      </c>
      <c r="G53" s="427"/>
      <c r="H53" s="221"/>
      <c r="I53" s="213"/>
      <c r="J53" s="213"/>
    </row>
    <row r="54" spans="1:10" x14ac:dyDescent="0.35">
      <c r="A54" s="213"/>
      <c r="B54" s="213"/>
      <c r="C54" s="220" t="s">
        <v>147</v>
      </c>
      <c r="D54" s="221"/>
      <c r="E54" s="252">
        <f>Utbyggingsinformasjon!F111</f>
        <v>0</v>
      </c>
      <c r="F54" s="427">
        <f>Utbyggingsinformasjon!M111</f>
        <v>0</v>
      </c>
      <c r="G54" s="427"/>
      <c r="H54" s="221"/>
      <c r="I54" s="213"/>
      <c r="J54" s="213"/>
    </row>
    <row r="55" spans="1:10" x14ac:dyDescent="0.35">
      <c r="A55" s="213"/>
      <c r="B55" s="213"/>
      <c r="C55" s="220" t="s">
        <v>148</v>
      </c>
      <c r="D55" s="221"/>
      <c r="E55" s="252">
        <f>Utbyggingsinformasjon!E129</f>
        <v>0</v>
      </c>
      <c r="F55" s="427">
        <f>Utbyggingsinformasjon!M128</f>
        <v>0</v>
      </c>
      <c r="G55" s="427"/>
      <c r="H55" s="221"/>
      <c r="I55" s="213"/>
      <c r="J55" s="213"/>
    </row>
    <row r="56" spans="1:10" ht="15" x14ac:dyDescent="0.4">
      <c r="A56" s="213"/>
      <c r="B56" s="213"/>
      <c r="C56" s="255" t="s">
        <v>232</v>
      </c>
      <c r="D56" s="221"/>
      <c r="E56" s="256">
        <f>SUM(E51:E55)</f>
        <v>0</v>
      </c>
      <c r="F56" s="426">
        <f>SUM(F51:F55)</f>
        <v>0</v>
      </c>
      <c r="G56" s="426"/>
      <c r="H56" s="221"/>
      <c r="I56" s="213"/>
      <c r="J56" s="213"/>
    </row>
    <row r="57" spans="1:10" ht="15.5" x14ac:dyDescent="0.4">
      <c r="A57" s="213"/>
      <c r="B57" s="213"/>
      <c r="C57" s="255" t="s">
        <v>263</v>
      </c>
      <c r="D57" s="221"/>
      <c r="E57" s="299" t="e">
        <f>E56/D13</f>
        <v>#DIV/0!</v>
      </c>
      <c r="F57" s="299"/>
      <c r="G57" s="299" t="e">
        <f>F56/F13</f>
        <v>#DIV/0!</v>
      </c>
      <c r="H57" s="221"/>
      <c r="I57" s="213"/>
      <c r="J57" s="213"/>
    </row>
    <row r="58" spans="1:10" x14ac:dyDescent="0.35">
      <c r="A58" s="213"/>
      <c r="B58" s="213"/>
      <c r="C58" s="213"/>
      <c r="D58" s="213"/>
      <c r="E58" s="213"/>
      <c r="F58" s="213"/>
      <c r="G58" s="213"/>
      <c r="H58" s="213"/>
      <c r="I58" s="213"/>
      <c r="J58" s="213"/>
    </row>
    <row r="59" spans="1:10" ht="20.25" customHeight="1" x14ac:dyDescent="0.45">
      <c r="A59" s="213"/>
      <c r="B59" s="213"/>
      <c r="C59" s="221" t="s">
        <v>215</v>
      </c>
      <c r="D59" s="221"/>
      <c r="E59" s="254">
        <f>F56-E56</f>
        <v>0</v>
      </c>
      <c r="F59" s="234" t="s">
        <v>233</v>
      </c>
      <c r="G59" s="225" t="s">
        <v>216</v>
      </c>
      <c r="H59" s="226" t="e">
        <f>(F56-E56)/E56</f>
        <v>#DIV/0!</v>
      </c>
      <c r="I59" s="213"/>
      <c r="J59" s="213"/>
    </row>
    <row r="60" spans="1:10" x14ac:dyDescent="0.35">
      <c r="A60" s="213"/>
      <c r="B60" s="213"/>
      <c r="C60" s="213"/>
      <c r="D60" s="213"/>
      <c r="E60" s="213"/>
      <c r="F60" s="213"/>
      <c r="G60" s="213"/>
      <c r="H60" s="213"/>
      <c r="I60" s="213"/>
      <c r="J60" s="213"/>
    </row>
    <row r="61" spans="1:10" x14ac:dyDescent="0.35">
      <c r="A61" s="213"/>
      <c r="B61" s="213"/>
      <c r="C61" s="213"/>
      <c r="D61" s="213"/>
      <c r="E61" s="213"/>
      <c r="F61" s="213"/>
      <c r="G61" s="213"/>
      <c r="H61" s="213"/>
      <c r="I61" s="213"/>
      <c r="J61" s="213"/>
    </row>
    <row r="62" spans="1:10" x14ac:dyDescent="0.35">
      <c r="A62" s="213"/>
      <c r="B62" s="213"/>
      <c r="C62" s="213"/>
      <c r="D62" s="213"/>
      <c r="E62" s="213"/>
      <c r="F62" s="213"/>
      <c r="G62" s="213"/>
      <c r="H62" s="213"/>
      <c r="I62" s="213"/>
      <c r="J62" s="213"/>
    </row>
    <row r="63" spans="1:10" x14ac:dyDescent="0.35">
      <c r="A63" s="213"/>
      <c r="B63" s="213"/>
      <c r="C63" s="213"/>
      <c r="D63" s="213"/>
      <c r="E63" s="213"/>
      <c r="F63" s="213"/>
      <c r="G63" s="213"/>
      <c r="H63" s="213"/>
      <c r="I63" s="213"/>
      <c r="J63" s="213"/>
    </row>
    <row r="64" spans="1:10" x14ac:dyDescent="0.35">
      <c r="A64" s="213"/>
      <c r="B64" s="213"/>
      <c r="C64" s="213"/>
      <c r="D64" s="213"/>
      <c r="E64" s="213"/>
      <c r="F64" s="213"/>
      <c r="G64" s="213"/>
      <c r="H64" s="213"/>
      <c r="I64" s="213"/>
      <c r="J64" s="213"/>
    </row>
    <row r="65" spans="1:10" x14ac:dyDescent="0.35">
      <c r="A65" s="213"/>
      <c r="B65" s="213"/>
      <c r="C65" s="213"/>
      <c r="D65" s="213"/>
      <c r="E65" s="213"/>
      <c r="F65" s="213"/>
      <c r="G65" s="213"/>
      <c r="H65" s="213"/>
      <c r="I65" s="213"/>
      <c r="J65" s="213"/>
    </row>
    <row r="66" spans="1:10" x14ac:dyDescent="0.35">
      <c r="A66" s="213"/>
      <c r="B66" s="213"/>
      <c r="C66" s="213"/>
      <c r="D66" s="213"/>
      <c r="E66" s="213"/>
      <c r="F66" s="213"/>
      <c r="G66" s="213"/>
      <c r="H66" s="213"/>
      <c r="I66" s="213"/>
      <c r="J66" s="213"/>
    </row>
    <row r="67" spans="1:10" x14ac:dyDescent="0.35">
      <c r="A67" s="213"/>
      <c r="B67" s="213"/>
      <c r="C67" s="213"/>
      <c r="D67" s="213"/>
      <c r="E67" s="213"/>
      <c r="F67" s="213"/>
      <c r="G67" s="213"/>
      <c r="H67" s="213"/>
      <c r="I67" s="213"/>
      <c r="J67" s="213"/>
    </row>
    <row r="68" spans="1:10" x14ac:dyDescent="0.35">
      <c r="A68" s="213"/>
      <c r="B68" s="213"/>
      <c r="C68" s="213"/>
      <c r="D68" s="213"/>
      <c r="E68" s="213"/>
      <c r="F68" s="213"/>
      <c r="G68" s="213"/>
      <c r="H68" s="213"/>
      <c r="I68" s="213"/>
      <c r="J68" s="213"/>
    </row>
    <row r="69" spans="1:10" x14ac:dyDescent="0.35">
      <c r="A69" s="213"/>
      <c r="B69" s="213"/>
      <c r="C69" s="213"/>
      <c r="D69" s="213"/>
      <c r="E69" s="213"/>
      <c r="F69" s="213"/>
      <c r="G69" s="213"/>
      <c r="H69" s="213"/>
      <c r="I69" s="213"/>
      <c r="J69" s="213"/>
    </row>
    <row r="70" spans="1:10" ht="15" thickBot="1" x14ac:dyDescent="0.4">
      <c r="A70" s="213"/>
      <c r="B70" s="213"/>
      <c r="C70" s="213"/>
      <c r="D70" s="213"/>
      <c r="E70" s="213"/>
      <c r="F70" s="213"/>
      <c r="G70" s="213"/>
      <c r="H70" s="213"/>
      <c r="I70" s="213"/>
      <c r="J70" s="213"/>
    </row>
    <row r="71" spans="1:10" ht="8.25" customHeight="1" thickBot="1" x14ac:dyDescent="0.4">
      <c r="A71" s="209"/>
      <c r="B71" s="209"/>
      <c r="C71" s="209"/>
      <c r="D71" s="209"/>
      <c r="E71" s="209"/>
      <c r="F71" s="209"/>
      <c r="G71" s="209"/>
      <c r="H71" s="209"/>
      <c r="I71" s="209"/>
      <c r="J71" s="209"/>
    </row>
  </sheetData>
  <sheetProtection algorithmName="SHA-512" hashValue="yy7T8EHomdu5+Dj1CWgqJoy3jHRpH4NZzMFgdQBzF3O+hfKu7NT2rSbJL55d9HcfirCtJyQG5DTfO8DdyahNHA==" saltValue="Op88zTCb0jh+y7Zdsmx0Kw==" spinCount="100000" sheet="1" objects="1" scenarios="1"/>
  <mergeCells count="15">
    <mergeCell ref="F29:G29"/>
    <mergeCell ref="F28:G28"/>
    <mergeCell ref="F30:G30"/>
    <mergeCell ref="F31:G31"/>
    <mergeCell ref="F32:G32"/>
    <mergeCell ref="F33:G33"/>
    <mergeCell ref="F35:G35"/>
    <mergeCell ref="F50:G50"/>
    <mergeCell ref="F34:G34"/>
    <mergeCell ref="F51:G51"/>
    <mergeCell ref="F56:G56"/>
    <mergeCell ref="F55:G55"/>
    <mergeCell ref="F54:G54"/>
    <mergeCell ref="F53:G53"/>
    <mergeCell ref="F52:G52"/>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394"/>
  <sheetViews>
    <sheetView zoomScale="130" zoomScaleNormal="130" workbookViewId="0">
      <selection activeCell="C1" sqref="C1"/>
    </sheetView>
  </sheetViews>
  <sheetFormatPr baseColWidth="10" defaultColWidth="9.1796875" defaultRowHeight="13" x14ac:dyDescent="0.3"/>
  <cols>
    <col min="1" max="1" width="3" style="1" customWidth="1"/>
    <col min="2" max="2" width="3.453125" style="1" customWidth="1"/>
    <col min="3" max="3" width="29.7265625" style="1" customWidth="1"/>
    <col min="4" max="4" width="19.1796875" style="1" customWidth="1"/>
    <col min="5" max="5" width="17.453125" style="1" customWidth="1"/>
    <col min="6" max="6" width="20.1796875" style="1" customWidth="1"/>
    <col min="7" max="7" width="16.26953125" style="1" customWidth="1"/>
    <col min="8" max="8" width="16" style="1" bestFit="1" customWidth="1"/>
    <col min="9" max="9" width="18" style="1" customWidth="1"/>
    <col min="10" max="10" width="16.54296875" style="1" customWidth="1"/>
    <col min="11" max="11" width="17.453125" style="1" customWidth="1"/>
    <col min="12" max="12" width="9.1796875" style="1"/>
    <col min="13" max="13" width="3.54296875" style="1" customWidth="1"/>
    <col min="14" max="14" width="4" style="1" customWidth="1"/>
    <col min="15" max="15" width="2.54296875" style="1" customWidth="1"/>
    <col min="16" max="16384" width="9.1796875" style="1"/>
  </cols>
  <sheetData>
    <row r="1" spans="1:15" ht="33.75" customHeight="1" thickBot="1" x14ac:dyDescent="0.35">
      <c r="A1" s="235"/>
      <c r="B1" s="235" t="s">
        <v>30</v>
      </c>
      <c r="C1" s="235"/>
      <c r="D1" s="235"/>
      <c r="E1" s="235"/>
      <c r="F1" s="235"/>
      <c r="G1" s="235"/>
      <c r="H1" s="235"/>
      <c r="I1" s="235"/>
      <c r="J1" s="235"/>
      <c r="K1" s="235"/>
      <c r="L1" s="235"/>
      <c r="M1" s="53"/>
      <c r="N1" s="60"/>
    </row>
    <row r="2" spans="1:15" ht="22.5" customHeight="1" thickBot="1" x14ac:dyDescent="0.35">
      <c r="A2" s="469" t="s">
        <v>29</v>
      </c>
      <c r="B2" s="469"/>
      <c r="C2" s="469"/>
      <c r="D2" s="469"/>
      <c r="E2" s="469"/>
      <c r="F2" s="469"/>
      <c r="G2" s="469"/>
      <c r="H2" s="469"/>
      <c r="I2" s="469"/>
      <c r="J2" s="469"/>
      <c r="K2" s="469"/>
      <c r="L2" s="469"/>
      <c r="M2" s="236"/>
      <c r="N2" s="237"/>
    </row>
    <row r="3" spans="1:15" x14ac:dyDescent="0.3">
      <c r="A3" s="16"/>
      <c r="B3" s="3"/>
      <c r="C3" s="12"/>
      <c r="D3" s="3"/>
      <c r="E3" s="3"/>
      <c r="F3" s="3"/>
      <c r="G3" s="3"/>
      <c r="H3" s="3"/>
      <c r="I3" s="3"/>
      <c r="J3" s="3"/>
      <c r="K3" s="3"/>
      <c r="L3" s="3"/>
      <c r="M3" s="3"/>
      <c r="N3" s="16"/>
    </row>
    <row r="4" spans="1:15" ht="56.25" customHeight="1" x14ac:dyDescent="0.3">
      <c r="A4" s="16"/>
      <c r="B4" s="3"/>
      <c r="C4" s="387" t="s">
        <v>352</v>
      </c>
      <c r="D4" s="387"/>
      <c r="E4" s="387"/>
      <c r="F4" s="387"/>
      <c r="G4" s="387"/>
      <c r="H4" s="387"/>
      <c r="I4" s="387"/>
      <c r="J4" s="387"/>
      <c r="K4" s="387"/>
      <c r="L4" s="13"/>
      <c r="M4" s="13"/>
      <c r="N4" s="16"/>
    </row>
    <row r="5" spans="1:15" x14ac:dyDescent="0.3">
      <c r="A5" s="16"/>
      <c r="B5" s="16"/>
      <c r="C5" s="16"/>
      <c r="D5" s="16"/>
      <c r="E5" s="16"/>
      <c r="F5" s="16"/>
      <c r="G5" s="16"/>
      <c r="H5" s="16"/>
      <c r="I5" s="16"/>
      <c r="J5" s="16"/>
      <c r="K5" s="16"/>
      <c r="L5" s="16"/>
      <c r="M5" s="16"/>
      <c r="N5" s="16"/>
    </row>
    <row r="6" spans="1:15" x14ac:dyDescent="0.3">
      <c r="A6" s="16"/>
      <c r="B6" s="3"/>
      <c r="C6" s="3"/>
      <c r="D6" s="3"/>
      <c r="E6" s="3"/>
      <c r="F6" s="3"/>
      <c r="G6" s="3"/>
      <c r="H6" s="3"/>
      <c r="I6" s="3"/>
      <c r="J6" s="3"/>
      <c r="K6" s="3"/>
      <c r="L6" s="3"/>
      <c r="M6" s="3"/>
      <c r="N6" s="16"/>
    </row>
    <row r="7" spans="1:15" x14ac:dyDescent="0.3">
      <c r="A7" s="16"/>
      <c r="B7" s="3"/>
      <c r="C7" s="4" t="s">
        <v>16</v>
      </c>
      <c r="D7" s="3"/>
      <c r="E7" s="3"/>
      <c r="F7" s="3"/>
      <c r="G7" s="3"/>
      <c r="H7" s="3"/>
      <c r="I7" s="3"/>
      <c r="J7" s="3"/>
      <c r="K7" s="3"/>
      <c r="L7" s="3"/>
      <c r="M7" s="3"/>
      <c r="N7" s="16"/>
    </row>
    <row r="8" spans="1:15" ht="42.75" customHeight="1" x14ac:dyDescent="0.3">
      <c r="A8" s="16"/>
      <c r="B8" s="3"/>
      <c r="C8" s="387" t="s">
        <v>353</v>
      </c>
      <c r="D8" s="387"/>
      <c r="E8" s="387"/>
      <c r="F8" s="387"/>
      <c r="G8" s="387"/>
      <c r="H8" s="387"/>
      <c r="I8" s="387"/>
      <c r="J8" s="387"/>
      <c r="K8" s="387"/>
      <c r="L8" s="3"/>
      <c r="M8" s="3"/>
      <c r="N8" s="16"/>
      <c r="O8" s="2"/>
    </row>
    <row r="9" spans="1:15" x14ac:dyDescent="0.3">
      <c r="A9" s="16"/>
      <c r="B9" s="3"/>
      <c r="C9" s="3"/>
      <c r="D9" s="3"/>
      <c r="E9" s="3"/>
      <c r="F9" s="3"/>
      <c r="G9" s="3"/>
      <c r="H9" s="3"/>
      <c r="I9" s="3"/>
      <c r="J9" s="3"/>
      <c r="K9" s="3"/>
      <c r="L9" s="3"/>
      <c r="M9" s="3"/>
      <c r="N9" s="16"/>
    </row>
    <row r="10" spans="1:15" x14ac:dyDescent="0.3">
      <c r="A10" s="16"/>
      <c r="B10" s="3"/>
      <c r="C10" s="473" t="s">
        <v>176</v>
      </c>
      <c r="D10" s="181" t="s">
        <v>1</v>
      </c>
      <c r="E10" s="181" t="s">
        <v>1</v>
      </c>
      <c r="F10" s="181" t="s">
        <v>4</v>
      </c>
      <c r="G10" s="181" t="s">
        <v>5</v>
      </c>
      <c r="H10" s="457" t="s">
        <v>10</v>
      </c>
      <c r="I10" s="482"/>
      <c r="J10" s="458"/>
      <c r="K10" s="3"/>
      <c r="L10" s="3"/>
      <c r="M10" s="3"/>
      <c r="N10" s="16"/>
    </row>
    <row r="11" spans="1:15" x14ac:dyDescent="0.3">
      <c r="A11" s="16"/>
      <c r="B11" s="3"/>
      <c r="C11" s="481"/>
      <c r="D11" s="180" t="s">
        <v>2</v>
      </c>
      <c r="E11" s="180" t="s">
        <v>3</v>
      </c>
      <c r="F11" s="180" t="s">
        <v>73</v>
      </c>
      <c r="G11" s="180" t="s">
        <v>6</v>
      </c>
      <c r="H11" s="178" t="s">
        <v>8</v>
      </c>
      <c r="I11" s="178" t="s">
        <v>11</v>
      </c>
      <c r="J11" s="178" t="s">
        <v>225</v>
      </c>
      <c r="K11" s="3"/>
      <c r="L11" s="3"/>
      <c r="M11" s="3"/>
      <c r="N11" s="16"/>
    </row>
    <row r="12" spans="1:15" x14ac:dyDescent="0.3">
      <c r="A12" s="16"/>
      <c r="B12" s="3"/>
      <c r="C12" s="132" t="s">
        <v>177</v>
      </c>
      <c r="D12" s="145">
        <v>3800</v>
      </c>
      <c r="E12" s="145">
        <v>3600</v>
      </c>
      <c r="F12" s="163">
        <v>3</v>
      </c>
      <c r="G12" s="145" t="s">
        <v>9</v>
      </c>
      <c r="H12" s="158">
        <v>68</v>
      </c>
      <c r="I12" s="158">
        <v>252</v>
      </c>
      <c r="J12" s="158">
        <f t="shared" ref="J12:J17" si="0">SUM(H12:I12)</f>
        <v>320</v>
      </c>
      <c r="K12" s="3"/>
      <c r="L12" s="3"/>
      <c r="M12" s="3"/>
      <c r="N12" s="16"/>
      <c r="O12" s="117"/>
    </row>
    <row r="13" spans="1:15" x14ac:dyDescent="0.3">
      <c r="A13" s="16"/>
      <c r="B13" s="3"/>
      <c r="C13" s="323"/>
      <c r="D13" s="144">
        <v>3800</v>
      </c>
      <c r="E13" s="144">
        <v>3600</v>
      </c>
      <c r="F13" s="144">
        <v>3</v>
      </c>
      <c r="G13" s="144" t="s">
        <v>7</v>
      </c>
      <c r="H13" s="70">
        <v>62</v>
      </c>
      <c r="I13" s="70">
        <v>159</v>
      </c>
      <c r="J13" s="70">
        <f t="shared" si="0"/>
        <v>221</v>
      </c>
      <c r="K13" s="3"/>
      <c r="L13" s="3"/>
      <c r="M13" s="3"/>
      <c r="N13" s="16"/>
      <c r="O13" s="170"/>
    </row>
    <row r="14" spans="1:15" x14ac:dyDescent="0.3">
      <c r="A14" s="16"/>
      <c r="B14" s="3"/>
      <c r="C14" s="132" t="s">
        <v>178</v>
      </c>
      <c r="D14" s="145">
        <v>1256</v>
      </c>
      <c r="E14" s="145">
        <v>1200</v>
      </c>
      <c r="F14" s="163">
        <v>1</v>
      </c>
      <c r="G14" s="145" t="s">
        <v>9</v>
      </c>
      <c r="H14" s="158">
        <v>118</v>
      </c>
      <c r="I14" s="158">
        <v>267</v>
      </c>
      <c r="J14" s="158">
        <f t="shared" si="0"/>
        <v>385</v>
      </c>
      <c r="K14" s="3"/>
      <c r="L14" s="3"/>
      <c r="M14" s="3"/>
      <c r="N14" s="16"/>
      <c r="O14" s="170"/>
    </row>
    <row r="15" spans="1:15" x14ac:dyDescent="0.3">
      <c r="A15" s="16"/>
      <c r="B15" s="3"/>
      <c r="C15" s="323"/>
      <c r="D15" s="144">
        <v>1256</v>
      </c>
      <c r="E15" s="144">
        <v>1200</v>
      </c>
      <c r="F15" s="144">
        <v>1</v>
      </c>
      <c r="G15" s="144" t="s">
        <v>7</v>
      </c>
      <c r="H15" s="70">
        <v>111</v>
      </c>
      <c r="I15" s="70">
        <v>196</v>
      </c>
      <c r="J15" s="70">
        <f t="shared" si="0"/>
        <v>307</v>
      </c>
      <c r="K15" s="3"/>
      <c r="L15" s="3"/>
      <c r="M15" s="3"/>
      <c r="N15" s="16"/>
      <c r="O15" s="170"/>
    </row>
    <row r="16" spans="1:15" x14ac:dyDescent="0.3">
      <c r="A16" s="16"/>
      <c r="B16" s="3"/>
      <c r="C16" s="132" t="s">
        <v>179</v>
      </c>
      <c r="D16" s="145">
        <v>1256</v>
      </c>
      <c r="E16" s="145">
        <v>1200</v>
      </c>
      <c r="F16" s="163">
        <v>1</v>
      </c>
      <c r="G16" s="145" t="s">
        <v>9</v>
      </c>
      <c r="H16" s="158">
        <v>113</v>
      </c>
      <c r="I16" s="158">
        <v>227</v>
      </c>
      <c r="J16" s="158">
        <f t="shared" si="0"/>
        <v>340</v>
      </c>
      <c r="K16" s="3"/>
      <c r="L16" s="3"/>
      <c r="M16" s="3"/>
      <c r="N16" s="16"/>
      <c r="O16" s="170"/>
    </row>
    <row r="17" spans="1:15" x14ac:dyDescent="0.3">
      <c r="A17" s="16"/>
      <c r="B17" s="3"/>
      <c r="C17" s="323"/>
      <c r="D17" s="144">
        <v>1256</v>
      </c>
      <c r="E17" s="144">
        <v>1200</v>
      </c>
      <c r="F17" s="144">
        <v>1</v>
      </c>
      <c r="G17" s="144" t="s">
        <v>7</v>
      </c>
      <c r="H17" s="70">
        <v>113</v>
      </c>
      <c r="I17" s="70">
        <v>201</v>
      </c>
      <c r="J17" s="70">
        <f t="shared" si="0"/>
        <v>314</v>
      </c>
      <c r="K17" s="3"/>
      <c r="L17" s="3"/>
      <c r="M17" s="3"/>
      <c r="N17" s="16"/>
      <c r="O17" s="170"/>
    </row>
    <row r="18" spans="1:15" x14ac:dyDescent="0.3">
      <c r="A18" s="16"/>
      <c r="B18" s="3"/>
      <c r="C18" s="3"/>
      <c r="D18" s="3"/>
      <c r="E18" s="3"/>
      <c r="F18" s="3"/>
      <c r="G18" s="3"/>
      <c r="H18" s="3"/>
      <c r="I18" s="3"/>
      <c r="J18" s="3"/>
      <c r="K18" s="3"/>
      <c r="L18" s="3"/>
      <c r="M18" s="3"/>
      <c r="N18" s="16"/>
      <c r="O18" s="170"/>
    </row>
    <row r="19" spans="1:15" x14ac:dyDescent="0.3">
      <c r="A19" s="16"/>
      <c r="B19" s="3"/>
      <c r="C19" s="3"/>
      <c r="D19" s="3"/>
      <c r="E19" s="3"/>
      <c r="F19" s="3"/>
      <c r="G19" s="3"/>
      <c r="H19" s="3"/>
      <c r="I19" s="3"/>
      <c r="J19" s="3"/>
      <c r="K19" s="3"/>
      <c r="L19" s="3"/>
      <c r="M19" s="3"/>
      <c r="N19" s="16"/>
      <c r="O19" s="170"/>
    </row>
    <row r="20" spans="1:15" x14ac:dyDescent="0.3">
      <c r="A20" s="16"/>
      <c r="B20" s="16"/>
      <c r="C20" s="16"/>
      <c r="D20" s="16"/>
      <c r="E20" s="16"/>
      <c r="F20" s="16"/>
      <c r="G20" s="16"/>
      <c r="H20" s="16"/>
      <c r="I20" s="16"/>
      <c r="J20" s="16"/>
      <c r="K20" s="16"/>
      <c r="L20" s="16"/>
      <c r="M20" s="16"/>
      <c r="N20" s="16"/>
    </row>
    <row r="21" spans="1:15" x14ac:dyDescent="0.3">
      <c r="A21" s="16"/>
      <c r="B21" s="3"/>
      <c r="C21" s="3"/>
      <c r="D21" s="3"/>
      <c r="E21" s="3"/>
      <c r="F21" s="3"/>
      <c r="G21" s="3"/>
      <c r="H21" s="3"/>
      <c r="I21" s="3"/>
      <c r="J21" s="3"/>
      <c r="K21" s="3"/>
      <c r="L21" s="3"/>
      <c r="M21" s="3"/>
      <c r="N21" s="16"/>
    </row>
    <row r="22" spans="1:15" x14ac:dyDescent="0.3">
      <c r="A22" s="16"/>
      <c r="B22" s="3"/>
      <c r="C22" s="4" t="s">
        <v>25</v>
      </c>
      <c r="D22" s="3"/>
      <c r="E22" s="3"/>
      <c r="F22" s="3"/>
      <c r="G22" s="3"/>
      <c r="H22" s="3"/>
      <c r="I22" s="3"/>
      <c r="J22" s="3"/>
      <c r="K22" s="3"/>
      <c r="L22" s="3"/>
      <c r="M22" s="3"/>
      <c r="N22" s="16"/>
    </row>
    <row r="23" spans="1:15" ht="27" customHeight="1" x14ac:dyDescent="0.3">
      <c r="A23" s="16"/>
      <c r="B23" s="3"/>
      <c r="C23" s="387" t="s">
        <v>234</v>
      </c>
      <c r="D23" s="387"/>
      <c r="E23" s="387"/>
      <c r="F23" s="387"/>
      <c r="G23" s="387"/>
      <c r="H23" s="387"/>
      <c r="I23" s="387"/>
      <c r="J23" s="387"/>
      <c r="K23" s="387"/>
      <c r="L23" s="3"/>
      <c r="M23" s="3"/>
      <c r="N23" s="16"/>
    </row>
    <row r="24" spans="1:15" x14ac:dyDescent="0.3">
      <c r="A24" s="16"/>
      <c r="B24" s="3"/>
      <c r="C24" s="3"/>
      <c r="D24" s="3"/>
      <c r="E24" s="3"/>
      <c r="F24" s="3"/>
      <c r="G24" s="3"/>
      <c r="H24" s="3"/>
      <c r="I24" s="3"/>
      <c r="J24" s="3"/>
      <c r="K24" s="3"/>
      <c r="L24" s="3"/>
      <c r="M24" s="3"/>
      <c r="N24" s="16"/>
    </row>
    <row r="25" spans="1:15" x14ac:dyDescent="0.3">
      <c r="A25" s="16"/>
      <c r="B25" s="3"/>
      <c r="C25" s="191"/>
      <c r="D25" s="192"/>
      <c r="E25" s="480" t="s">
        <v>14</v>
      </c>
      <c r="F25" s="457" t="s">
        <v>8</v>
      </c>
      <c r="G25" s="458"/>
      <c r="H25" s="457" t="s">
        <v>11</v>
      </c>
      <c r="I25" s="458"/>
      <c r="J25" s="9" t="s">
        <v>12</v>
      </c>
      <c r="K25" s="3"/>
      <c r="L25" s="3"/>
      <c r="M25" s="3"/>
      <c r="N25" s="16"/>
    </row>
    <row r="26" spans="1:15" x14ac:dyDescent="0.3">
      <c r="A26" s="16"/>
      <c r="B26" s="3"/>
      <c r="C26" s="193" t="s">
        <v>13</v>
      </c>
      <c r="D26" s="194"/>
      <c r="E26" s="475"/>
      <c r="F26" s="10" t="s">
        <v>15</v>
      </c>
      <c r="G26" s="10" t="s">
        <v>287</v>
      </c>
      <c r="H26" s="10" t="s">
        <v>15</v>
      </c>
      <c r="I26" s="10" t="s">
        <v>287</v>
      </c>
      <c r="J26" s="10" t="s">
        <v>132</v>
      </c>
      <c r="K26" s="3"/>
      <c r="L26" s="3"/>
      <c r="M26" s="3"/>
      <c r="N26" s="16"/>
    </row>
    <row r="27" spans="1:15" x14ac:dyDescent="0.3">
      <c r="A27" s="16"/>
      <c r="B27" s="3"/>
      <c r="C27" s="195"/>
      <c r="D27" s="157"/>
      <c r="E27" s="106" t="s">
        <v>3</v>
      </c>
      <c r="F27" s="106" t="s">
        <v>74</v>
      </c>
      <c r="G27" s="106" t="s">
        <v>85</v>
      </c>
      <c r="H27" s="106" t="s">
        <v>74</v>
      </c>
      <c r="I27" s="106" t="s">
        <v>85</v>
      </c>
      <c r="J27" s="106" t="s">
        <v>85</v>
      </c>
      <c r="K27" s="3"/>
      <c r="L27" s="3"/>
      <c r="M27" s="3"/>
      <c r="N27" s="16"/>
    </row>
    <row r="28" spans="1:15" x14ac:dyDescent="0.3">
      <c r="A28" s="16"/>
      <c r="B28" s="3"/>
      <c r="C28" s="483" t="s">
        <v>171</v>
      </c>
      <c r="D28" s="484"/>
      <c r="E28" s="336">
        <f>SUM(Utbyggingsinformasjon!E29:E29)</f>
        <v>0</v>
      </c>
      <c r="F28" s="251">
        <f t="shared" ref="F28:F33" si="1">I12</f>
        <v>252</v>
      </c>
      <c r="G28" s="251">
        <f>(E28*F28)/1000</f>
        <v>0</v>
      </c>
      <c r="H28" s="251">
        <f t="shared" ref="H28:H33" si="2">J12</f>
        <v>320</v>
      </c>
      <c r="I28" s="251">
        <f>(E28*H28)/1000</f>
        <v>0</v>
      </c>
      <c r="J28" s="251">
        <f t="shared" ref="J28:J33" si="3">G28+I28</f>
        <v>0</v>
      </c>
      <c r="K28" s="3"/>
      <c r="L28" s="3"/>
      <c r="M28" s="3"/>
      <c r="N28" s="16"/>
    </row>
    <row r="29" spans="1:15" x14ac:dyDescent="0.3">
      <c r="A29" s="16"/>
      <c r="B29" s="3"/>
      <c r="C29" s="509" t="s">
        <v>170</v>
      </c>
      <c r="D29" s="510"/>
      <c r="E29" s="337">
        <f>SUM(Utbyggingsinformasjon!E30:E30)</f>
        <v>0</v>
      </c>
      <c r="F29" s="250">
        <f t="shared" si="1"/>
        <v>159</v>
      </c>
      <c r="G29" s="250">
        <f t="shared" ref="G29:G33" si="4">(E29*F29)/1000</f>
        <v>0</v>
      </c>
      <c r="H29" s="250">
        <f t="shared" si="2"/>
        <v>221</v>
      </c>
      <c r="I29" s="250">
        <f t="shared" ref="I29:I33" si="5">(E29*H29)/1000</f>
        <v>0</v>
      </c>
      <c r="J29" s="250">
        <f t="shared" si="3"/>
        <v>0</v>
      </c>
      <c r="K29" s="3"/>
      <c r="L29" s="3"/>
      <c r="M29" s="3"/>
      <c r="N29" s="16"/>
    </row>
    <row r="30" spans="1:15" x14ac:dyDescent="0.3">
      <c r="A30" s="16"/>
      <c r="B30" s="3"/>
      <c r="C30" s="483" t="s">
        <v>172</v>
      </c>
      <c r="D30" s="484"/>
      <c r="E30" s="336">
        <f>SUM(Utbyggingsinformasjon!E31:E31)</f>
        <v>0</v>
      </c>
      <c r="F30" s="251">
        <f t="shared" si="1"/>
        <v>267</v>
      </c>
      <c r="G30" s="251">
        <f t="shared" si="4"/>
        <v>0</v>
      </c>
      <c r="H30" s="251">
        <f t="shared" si="2"/>
        <v>385</v>
      </c>
      <c r="I30" s="251">
        <f t="shared" si="5"/>
        <v>0</v>
      </c>
      <c r="J30" s="251">
        <f t="shared" si="3"/>
        <v>0</v>
      </c>
      <c r="K30" s="3"/>
      <c r="L30" s="3"/>
      <c r="M30" s="3"/>
      <c r="N30" s="16"/>
    </row>
    <row r="31" spans="1:15" x14ac:dyDescent="0.3">
      <c r="A31" s="16"/>
      <c r="B31" s="3"/>
      <c r="C31" s="509" t="s">
        <v>173</v>
      </c>
      <c r="D31" s="510"/>
      <c r="E31" s="337">
        <f>SUM(Utbyggingsinformasjon!E32:E32)</f>
        <v>0</v>
      </c>
      <c r="F31" s="250">
        <f t="shared" si="1"/>
        <v>196</v>
      </c>
      <c r="G31" s="250">
        <f t="shared" si="4"/>
        <v>0</v>
      </c>
      <c r="H31" s="250">
        <f t="shared" si="2"/>
        <v>307</v>
      </c>
      <c r="I31" s="250">
        <f t="shared" si="5"/>
        <v>0</v>
      </c>
      <c r="J31" s="250">
        <f t="shared" si="3"/>
        <v>0</v>
      </c>
      <c r="K31" s="3"/>
      <c r="L31" s="3"/>
      <c r="M31" s="3"/>
      <c r="N31" s="16"/>
    </row>
    <row r="32" spans="1:15" x14ac:dyDescent="0.3">
      <c r="A32" s="16"/>
      <c r="B32" s="3"/>
      <c r="C32" s="505" t="s">
        <v>174</v>
      </c>
      <c r="D32" s="507"/>
      <c r="E32" s="336">
        <f>SUM(Utbyggingsinformasjon!E33:E33)</f>
        <v>0</v>
      </c>
      <c r="F32" s="251">
        <f t="shared" si="1"/>
        <v>227</v>
      </c>
      <c r="G32" s="251">
        <f t="shared" si="4"/>
        <v>0</v>
      </c>
      <c r="H32" s="251">
        <f t="shared" si="2"/>
        <v>340</v>
      </c>
      <c r="I32" s="251">
        <f t="shared" si="5"/>
        <v>0</v>
      </c>
      <c r="J32" s="251">
        <f t="shared" si="3"/>
        <v>0</v>
      </c>
      <c r="K32" s="3"/>
      <c r="L32" s="3"/>
      <c r="M32" s="3"/>
      <c r="N32" s="16"/>
    </row>
    <row r="33" spans="1:14" x14ac:dyDescent="0.3">
      <c r="A33" s="16"/>
      <c r="B33" s="3"/>
      <c r="C33" s="509" t="s">
        <v>175</v>
      </c>
      <c r="D33" s="510"/>
      <c r="E33" s="337">
        <f>SUM(Utbyggingsinformasjon!E34:E34)</f>
        <v>0</v>
      </c>
      <c r="F33" s="250">
        <f t="shared" si="1"/>
        <v>201</v>
      </c>
      <c r="G33" s="250">
        <f t="shared" si="4"/>
        <v>0</v>
      </c>
      <c r="H33" s="250">
        <f t="shared" si="2"/>
        <v>314</v>
      </c>
      <c r="I33" s="250">
        <f t="shared" si="5"/>
        <v>0</v>
      </c>
      <c r="J33" s="250">
        <f t="shared" si="3"/>
        <v>0</v>
      </c>
      <c r="K33" s="3"/>
      <c r="L33" s="3"/>
      <c r="M33" s="3"/>
      <c r="N33" s="16"/>
    </row>
    <row r="34" spans="1:14" x14ac:dyDescent="0.3">
      <c r="A34" s="16"/>
      <c r="B34" s="3"/>
      <c r="C34" s="3"/>
      <c r="D34" s="3"/>
      <c r="E34" s="3"/>
      <c r="F34" s="160" t="s">
        <v>230</v>
      </c>
      <c r="G34" s="352">
        <f>SUM(G28:G33)</f>
        <v>0</v>
      </c>
      <c r="H34" s="160" t="s">
        <v>230</v>
      </c>
      <c r="I34" s="352">
        <f>SUM(I28:I33)</f>
        <v>0</v>
      </c>
      <c r="J34" s="352">
        <f>SUM(J28:J33)</f>
        <v>0</v>
      </c>
      <c r="K34" s="3"/>
      <c r="L34" s="3"/>
      <c r="M34" s="3"/>
      <c r="N34" s="16"/>
    </row>
    <row r="35" spans="1:14" x14ac:dyDescent="0.3">
      <c r="A35" s="16"/>
      <c r="B35" s="3"/>
      <c r="C35" s="3"/>
      <c r="D35" s="3"/>
      <c r="E35" s="3"/>
      <c r="F35" s="3"/>
      <c r="G35" s="3"/>
      <c r="H35" s="3"/>
      <c r="I35" s="3"/>
      <c r="J35" s="3"/>
      <c r="K35" s="3"/>
      <c r="L35" s="3"/>
      <c r="M35" s="3"/>
      <c r="N35" s="16"/>
    </row>
    <row r="36" spans="1:14" x14ac:dyDescent="0.3">
      <c r="A36" s="16"/>
      <c r="B36" s="3"/>
      <c r="C36" s="3"/>
      <c r="D36" s="3"/>
      <c r="E36" s="3"/>
      <c r="F36" s="3"/>
      <c r="G36" s="3"/>
      <c r="H36" s="3"/>
      <c r="I36" s="3"/>
      <c r="J36" s="3"/>
      <c r="K36" s="3"/>
      <c r="L36" s="3"/>
      <c r="M36" s="3"/>
      <c r="N36" s="16"/>
    </row>
    <row r="37" spans="1:14" x14ac:dyDescent="0.3">
      <c r="A37" s="16"/>
      <c r="B37" s="16"/>
      <c r="C37" s="16"/>
      <c r="D37" s="16"/>
      <c r="E37" s="16"/>
      <c r="F37" s="16"/>
      <c r="G37" s="16"/>
      <c r="H37" s="16"/>
      <c r="I37" s="16"/>
      <c r="J37" s="16"/>
      <c r="K37" s="16"/>
      <c r="L37" s="16"/>
      <c r="M37" s="16"/>
      <c r="N37" s="16"/>
    </row>
    <row r="38" spans="1:14" x14ac:dyDescent="0.3">
      <c r="A38" s="16"/>
      <c r="B38" s="3"/>
      <c r="C38" s="3"/>
      <c r="D38" s="3"/>
      <c r="E38" s="3"/>
      <c r="F38" s="3"/>
      <c r="G38" s="3"/>
      <c r="H38" s="3"/>
      <c r="I38" s="3"/>
      <c r="J38" s="3"/>
      <c r="K38" s="3"/>
      <c r="L38" s="3"/>
      <c r="M38" s="3"/>
      <c r="N38" s="16"/>
    </row>
    <row r="39" spans="1:14" x14ac:dyDescent="0.3">
      <c r="A39" s="16"/>
      <c r="B39" s="3"/>
      <c r="C39" s="4" t="s">
        <v>288</v>
      </c>
      <c r="D39" s="3"/>
      <c r="E39" s="3"/>
      <c r="F39" s="3"/>
      <c r="G39" s="3"/>
      <c r="H39" s="3"/>
      <c r="I39" s="3"/>
      <c r="J39" s="3"/>
      <c r="K39" s="3"/>
      <c r="L39" s="3"/>
      <c r="M39" s="3"/>
      <c r="N39" s="16"/>
    </row>
    <row r="40" spans="1:14" ht="16.5" customHeight="1" x14ac:dyDescent="0.3">
      <c r="A40" s="16"/>
      <c r="B40" s="3"/>
      <c r="C40" s="387" t="s">
        <v>235</v>
      </c>
      <c r="D40" s="387"/>
      <c r="E40" s="387"/>
      <c r="F40" s="387"/>
      <c r="G40" s="387"/>
      <c r="H40" s="387"/>
      <c r="I40" s="387"/>
      <c r="J40" s="387"/>
      <c r="K40" s="387"/>
      <c r="L40" s="3"/>
      <c r="M40" s="3"/>
      <c r="N40" s="16"/>
    </row>
    <row r="41" spans="1:14" x14ac:dyDescent="0.3">
      <c r="A41" s="16"/>
      <c r="B41" s="3"/>
      <c r="C41" s="3"/>
      <c r="D41" s="3"/>
      <c r="E41" s="3"/>
      <c r="F41" s="3"/>
      <c r="G41" s="3"/>
      <c r="H41" s="3"/>
      <c r="I41" s="3"/>
      <c r="J41" s="3"/>
      <c r="K41" s="3"/>
      <c r="L41" s="3"/>
      <c r="M41" s="3"/>
      <c r="N41" s="16"/>
    </row>
    <row r="42" spans="1:14" x14ac:dyDescent="0.3">
      <c r="A42" s="16"/>
      <c r="B42" s="3"/>
      <c r="C42" s="470" t="s">
        <v>48</v>
      </c>
      <c r="D42" s="472" t="s">
        <v>97</v>
      </c>
      <c r="E42" s="472"/>
      <c r="F42" s="472"/>
      <c r="G42" s="3"/>
      <c r="H42" s="3"/>
      <c r="I42" s="3"/>
      <c r="J42" s="3"/>
      <c r="K42" s="3"/>
      <c r="L42" s="3"/>
      <c r="M42" s="3"/>
      <c r="N42" s="16"/>
    </row>
    <row r="43" spans="1:14" x14ac:dyDescent="0.3">
      <c r="A43" s="16"/>
      <c r="B43" s="3"/>
      <c r="C43" s="470"/>
      <c r="D43" s="84" t="s">
        <v>8</v>
      </c>
      <c r="E43" s="84" t="s">
        <v>11</v>
      </c>
      <c r="F43" s="84" t="s">
        <v>12</v>
      </c>
      <c r="G43" s="3"/>
      <c r="H43" s="3"/>
      <c r="I43" s="3"/>
      <c r="J43" s="3"/>
      <c r="K43" s="3"/>
      <c r="L43" s="3"/>
      <c r="M43" s="3"/>
      <c r="N43" s="16"/>
    </row>
    <row r="44" spans="1:14" x14ac:dyDescent="0.3">
      <c r="A44" s="16"/>
      <c r="B44" s="3"/>
      <c r="C44" s="31">
        <v>0</v>
      </c>
      <c r="D44" s="90">
        <f>G$34*(1-C44)</f>
        <v>0</v>
      </c>
      <c r="E44" s="90">
        <f>I$34*(1-C44)</f>
        <v>0</v>
      </c>
      <c r="F44" s="90">
        <f>D44+E44</f>
        <v>0</v>
      </c>
      <c r="G44" s="3"/>
      <c r="H44" s="3"/>
      <c r="I44" s="3"/>
      <c r="J44" s="3"/>
      <c r="K44" s="3"/>
      <c r="L44" s="3"/>
      <c r="M44" s="3"/>
      <c r="N44" s="16"/>
    </row>
    <row r="45" spans="1:14" x14ac:dyDescent="0.3">
      <c r="A45" s="16"/>
      <c r="B45" s="3"/>
      <c r="C45" s="33">
        <v>0.05</v>
      </c>
      <c r="D45" s="90">
        <f>G$34*(1-C45)</f>
        <v>0</v>
      </c>
      <c r="E45" s="90">
        <f>I$34*(1-C45)</f>
        <v>0</v>
      </c>
      <c r="F45" s="90">
        <f t="shared" ref="F45:F47" si="6">D45+E45</f>
        <v>0</v>
      </c>
      <c r="G45" s="3"/>
      <c r="H45" s="3"/>
      <c r="I45" s="3"/>
      <c r="J45" s="3"/>
      <c r="K45" s="3"/>
      <c r="L45" s="3"/>
      <c r="M45" s="3"/>
      <c r="N45" s="16"/>
    </row>
    <row r="46" spans="1:14" x14ac:dyDescent="0.3">
      <c r="A46" s="16"/>
      <c r="B46" s="3"/>
      <c r="C46" s="33">
        <v>0.1</v>
      </c>
      <c r="D46" s="90">
        <f>G$34*(1-C46)</f>
        <v>0</v>
      </c>
      <c r="E46" s="90">
        <f>I$34*(1-C46)</f>
        <v>0</v>
      </c>
      <c r="F46" s="90">
        <f t="shared" si="6"/>
        <v>0</v>
      </c>
      <c r="G46" s="3"/>
      <c r="H46" s="3"/>
      <c r="I46" s="3"/>
      <c r="J46" s="3"/>
      <c r="K46" s="3"/>
      <c r="L46" s="3"/>
      <c r="M46" s="3"/>
      <c r="N46" s="16"/>
    </row>
    <row r="47" spans="1:14" x14ac:dyDescent="0.3">
      <c r="A47" s="16"/>
      <c r="B47" s="3"/>
      <c r="C47" s="26">
        <v>0.15</v>
      </c>
      <c r="D47" s="90">
        <f>G$34*(1-C47)</f>
        <v>0</v>
      </c>
      <c r="E47" s="90">
        <f>I$34*(1-C47)</f>
        <v>0</v>
      </c>
      <c r="F47" s="90">
        <f t="shared" si="6"/>
        <v>0</v>
      </c>
      <c r="G47" s="3"/>
      <c r="H47" s="3"/>
      <c r="I47" s="3"/>
      <c r="J47" s="3"/>
      <c r="K47" s="3"/>
      <c r="L47" s="3"/>
      <c r="M47" s="3"/>
      <c r="N47" s="16"/>
    </row>
    <row r="48" spans="1:14" x14ac:dyDescent="0.3">
      <c r="A48" s="16"/>
      <c r="B48" s="3"/>
      <c r="C48" s="26">
        <v>0.2</v>
      </c>
      <c r="D48" s="90">
        <f>G$34*(1-C48)</f>
        <v>0</v>
      </c>
      <c r="E48" s="90">
        <f>I$34*(1-C48)</f>
        <v>0</v>
      </c>
      <c r="F48" s="90">
        <f>D48+E48</f>
        <v>0</v>
      </c>
      <c r="G48" s="3"/>
      <c r="H48" s="3"/>
      <c r="I48" s="3"/>
      <c r="J48" s="3"/>
      <c r="K48" s="3"/>
      <c r="L48" s="3"/>
      <c r="M48" s="3"/>
      <c r="N48" s="16"/>
    </row>
    <row r="49" spans="1:15" x14ac:dyDescent="0.3">
      <c r="A49" s="16"/>
      <c r="B49" s="3"/>
      <c r="C49" s="34"/>
      <c r="D49" s="25"/>
      <c r="E49" s="25"/>
      <c r="F49" s="25"/>
      <c r="G49" s="3"/>
      <c r="H49" s="3"/>
      <c r="I49" s="3"/>
      <c r="J49" s="3"/>
      <c r="K49" s="3"/>
      <c r="L49" s="3"/>
      <c r="M49" s="3"/>
      <c r="N49" s="16"/>
    </row>
    <row r="50" spans="1:15" x14ac:dyDescent="0.3">
      <c r="A50" s="16"/>
      <c r="B50" s="3"/>
      <c r="C50" s="4" t="s">
        <v>313</v>
      </c>
      <c r="D50" s="32"/>
      <c r="E50" s="32"/>
      <c r="F50" s="32"/>
      <c r="G50" s="3"/>
      <c r="H50" s="3"/>
      <c r="I50" s="3"/>
      <c r="J50" s="3"/>
      <c r="K50" s="3"/>
      <c r="L50" s="3"/>
      <c r="M50" s="3"/>
      <c r="N50" s="16"/>
    </row>
    <row r="51" spans="1:15" x14ac:dyDescent="0.3">
      <c r="A51" s="16"/>
      <c r="B51" s="3"/>
      <c r="C51" s="322">
        <f>Utbyggingsinformasjon!M28</f>
        <v>0</v>
      </c>
      <c r="D51" s="248">
        <f>VLOOKUP(C51,$C$44:$F$48,2,FALSE)</f>
        <v>0</v>
      </c>
      <c r="E51" s="248">
        <f>VLOOKUP(C51,$C$44:$F$48,3,FALSE)</f>
        <v>0</v>
      </c>
      <c r="F51" s="248">
        <f>VLOOKUP(C51,$C$44:$F$48,4,FALSE)</f>
        <v>0</v>
      </c>
      <c r="G51" s="3"/>
      <c r="H51" s="3"/>
      <c r="I51" s="3"/>
      <c r="J51" s="3"/>
      <c r="K51" s="3"/>
      <c r="L51" s="3"/>
      <c r="M51" s="3"/>
      <c r="N51" s="16"/>
    </row>
    <row r="52" spans="1:15" x14ac:dyDescent="0.3">
      <c r="A52" s="16"/>
      <c r="B52" s="3"/>
      <c r="C52" s="3"/>
      <c r="D52" s="3"/>
      <c r="E52" s="3"/>
      <c r="F52" s="3"/>
      <c r="G52" s="3"/>
      <c r="H52" s="3"/>
      <c r="I52" s="3"/>
      <c r="J52" s="3"/>
      <c r="K52" s="3"/>
      <c r="L52" s="3"/>
      <c r="M52" s="3"/>
      <c r="N52" s="16"/>
    </row>
    <row r="53" spans="1:15" x14ac:dyDescent="0.3">
      <c r="A53" s="16"/>
      <c r="B53" s="16"/>
      <c r="C53" s="16"/>
      <c r="D53" s="16"/>
      <c r="E53" s="16"/>
      <c r="F53" s="16"/>
      <c r="G53" s="16"/>
      <c r="H53" s="16"/>
      <c r="I53" s="16"/>
      <c r="J53" s="16"/>
      <c r="K53" s="16"/>
      <c r="L53" s="16"/>
      <c r="M53" s="16"/>
      <c r="N53" s="16"/>
    </row>
    <row r="54" spans="1:15" x14ac:dyDescent="0.3">
      <c r="A54" s="16"/>
      <c r="B54" s="3"/>
      <c r="C54" s="3"/>
      <c r="D54" s="3"/>
      <c r="E54" s="3"/>
      <c r="F54" s="3"/>
      <c r="G54" s="3"/>
      <c r="H54" s="3"/>
      <c r="I54" s="3"/>
      <c r="J54" s="3"/>
      <c r="K54" s="3"/>
      <c r="L54" s="3"/>
      <c r="M54" s="3"/>
      <c r="N54" s="16"/>
    </row>
    <row r="55" spans="1:15" x14ac:dyDescent="0.3">
      <c r="A55" s="16"/>
      <c r="B55" s="3"/>
      <c r="C55" s="4" t="s">
        <v>27</v>
      </c>
      <c r="D55" s="3"/>
      <c r="E55" s="3"/>
      <c r="F55" s="3"/>
      <c r="G55" s="3"/>
      <c r="H55" s="3"/>
      <c r="I55" s="3"/>
      <c r="J55" s="3"/>
      <c r="K55" s="3"/>
      <c r="L55" s="3"/>
      <c r="M55" s="3"/>
      <c r="N55" s="16"/>
    </row>
    <row r="56" spans="1:15" ht="41.25" customHeight="1" x14ac:dyDescent="0.3">
      <c r="A56" s="16"/>
      <c r="B56" s="3"/>
      <c r="C56" s="387" t="s">
        <v>354</v>
      </c>
      <c r="D56" s="387"/>
      <c r="E56" s="387"/>
      <c r="F56" s="387"/>
      <c r="G56" s="387"/>
      <c r="H56" s="387"/>
      <c r="I56" s="387"/>
      <c r="J56" s="387"/>
      <c r="K56" s="387"/>
      <c r="L56" s="3"/>
      <c r="M56" s="3"/>
      <c r="N56" s="16"/>
      <c r="O56" s="2"/>
    </row>
    <row r="57" spans="1:15" x14ac:dyDescent="0.3">
      <c r="A57" s="16"/>
      <c r="B57" s="3"/>
      <c r="C57" s="4"/>
      <c r="D57" s="3"/>
      <c r="E57" s="3"/>
      <c r="F57" s="3"/>
      <c r="G57" s="3"/>
      <c r="H57" s="3"/>
      <c r="I57" s="3"/>
      <c r="J57" s="3"/>
      <c r="K57" s="3"/>
      <c r="L57" s="3"/>
      <c r="M57" s="3"/>
      <c r="N57" s="16"/>
      <c r="O57" s="2"/>
    </row>
    <row r="58" spans="1:15" x14ac:dyDescent="0.3">
      <c r="A58" s="16"/>
      <c r="B58" s="3"/>
      <c r="C58" s="5" t="s">
        <v>17</v>
      </c>
      <c r="D58" s="9" t="s">
        <v>15</v>
      </c>
      <c r="E58" s="9" t="s">
        <v>20</v>
      </c>
      <c r="F58" s="472" t="s">
        <v>75</v>
      </c>
      <c r="G58" s="472"/>
      <c r="H58" s="472"/>
      <c r="I58" s="3"/>
      <c r="J58" s="3"/>
      <c r="K58" s="3"/>
      <c r="L58" s="3"/>
      <c r="M58" s="3"/>
      <c r="N58" s="16"/>
    </row>
    <row r="59" spans="1:15" x14ac:dyDescent="0.3">
      <c r="A59" s="16"/>
      <c r="B59" s="3"/>
      <c r="C59" s="6"/>
      <c r="D59" s="106" t="s">
        <v>98</v>
      </c>
      <c r="E59" s="106" t="s">
        <v>21</v>
      </c>
      <c r="F59" s="84" t="s">
        <v>8</v>
      </c>
      <c r="G59" s="84" t="s">
        <v>11</v>
      </c>
      <c r="H59" s="84" t="s">
        <v>26</v>
      </c>
      <c r="I59" s="3"/>
      <c r="J59" s="3"/>
      <c r="K59" s="3"/>
      <c r="L59" s="3"/>
      <c r="M59" s="3"/>
      <c r="N59" s="16"/>
    </row>
    <row r="60" spans="1:15" x14ac:dyDescent="0.3">
      <c r="A60" s="16"/>
      <c r="B60" s="3"/>
      <c r="C60" s="7" t="s">
        <v>46</v>
      </c>
      <c r="D60" s="89">
        <v>270</v>
      </c>
      <c r="E60" s="322">
        <v>0</v>
      </c>
      <c r="F60" s="90">
        <f>D51</f>
        <v>0</v>
      </c>
      <c r="G60" s="477">
        <f>E51</f>
        <v>0</v>
      </c>
      <c r="H60" s="90">
        <f>F60+G60</f>
        <v>0</v>
      </c>
      <c r="I60" s="3"/>
      <c r="J60" s="3"/>
      <c r="K60" s="3"/>
      <c r="L60" s="3"/>
      <c r="M60" s="3"/>
      <c r="N60" s="16"/>
    </row>
    <row r="61" spans="1:15" x14ac:dyDescent="0.3">
      <c r="A61" s="16"/>
      <c r="B61" s="3"/>
      <c r="C61" s="7" t="s">
        <v>18</v>
      </c>
      <c r="D61" s="89">
        <v>210</v>
      </c>
      <c r="E61" s="322">
        <f>-(D61-D60)/D60</f>
        <v>0.22222222222222221</v>
      </c>
      <c r="F61" s="90">
        <f>F60*(1-E61)</f>
        <v>0</v>
      </c>
      <c r="G61" s="478"/>
      <c r="H61" s="90">
        <f>F61+G60</f>
        <v>0</v>
      </c>
      <c r="I61" s="3"/>
      <c r="J61" s="3"/>
      <c r="K61" s="3"/>
      <c r="L61" s="3"/>
      <c r="M61" s="3"/>
      <c r="N61" s="16"/>
    </row>
    <row r="62" spans="1:15" x14ac:dyDescent="0.3">
      <c r="A62" s="16"/>
      <c r="B62" s="3"/>
      <c r="C62" s="7" t="s">
        <v>19</v>
      </c>
      <c r="D62" s="89">
        <v>160</v>
      </c>
      <c r="E62" s="322">
        <f>-(D62-D60)/D60</f>
        <v>0.40740740740740738</v>
      </c>
      <c r="F62" s="90">
        <f>F60*(1-E62)</f>
        <v>0</v>
      </c>
      <c r="G62" s="479"/>
      <c r="H62" s="90">
        <f>F62+G60</f>
        <v>0</v>
      </c>
      <c r="I62" s="3"/>
      <c r="J62" s="3"/>
      <c r="K62" s="3"/>
      <c r="L62" s="3"/>
      <c r="M62" s="3"/>
      <c r="N62" s="16"/>
    </row>
    <row r="63" spans="1:15" x14ac:dyDescent="0.3">
      <c r="A63" s="16"/>
      <c r="B63" s="3"/>
      <c r="C63" s="3"/>
      <c r="D63" s="3"/>
      <c r="E63" s="3"/>
      <c r="F63" s="3"/>
      <c r="G63" s="3"/>
      <c r="H63" s="3"/>
      <c r="I63" s="3"/>
      <c r="J63" s="3"/>
      <c r="K63" s="3"/>
      <c r="L63" s="3"/>
      <c r="M63" s="3"/>
      <c r="N63" s="16"/>
    </row>
    <row r="64" spans="1:15" x14ac:dyDescent="0.3">
      <c r="A64" s="16"/>
      <c r="B64" s="3"/>
      <c r="C64" s="3"/>
      <c r="D64" s="3"/>
      <c r="E64" s="3"/>
      <c r="F64" s="3"/>
      <c r="G64" s="3"/>
      <c r="H64" s="3"/>
      <c r="I64" s="3"/>
      <c r="J64" s="3"/>
      <c r="K64" s="3"/>
      <c r="L64" s="3"/>
      <c r="M64" s="3"/>
      <c r="N64" s="16"/>
    </row>
    <row r="65" spans="1:15" ht="15" customHeight="1" x14ac:dyDescent="0.3">
      <c r="A65" s="16"/>
      <c r="B65" s="3"/>
      <c r="C65" s="3"/>
      <c r="D65" s="3"/>
      <c r="E65" s="160" t="s">
        <v>308</v>
      </c>
      <c r="F65" s="511" t="str">
        <f>Utbyggingsinformasjon!M36</f>
        <v>Lavkarbon B (default)</v>
      </c>
      <c r="G65" s="512"/>
      <c r="H65" s="86">
        <f>VLOOKUP(F65,C60:H62,6,FALSE)</f>
        <v>0</v>
      </c>
      <c r="I65" s="3"/>
      <c r="J65" s="3"/>
      <c r="K65" s="3"/>
      <c r="L65" s="3"/>
      <c r="M65" s="3"/>
      <c r="N65" s="16"/>
    </row>
    <row r="66" spans="1:15" x14ac:dyDescent="0.3">
      <c r="A66" s="16"/>
      <c r="B66" s="3"/>
      <c r="C66" s="3"/>
      <c r="D66" s="3"/>
      <c r="E66" s="3"/>
      <c r="F66" s="3"/>
      <c r="G66" s="3"/>
      <c r="H66" s="3"/>
      <c r="I66" s="3"/>
      <c r="J66" s="3"/>
      <c r="K66" s="3"/>
      <c r="L66" s="3"/>
      <c r="M66" s="3"/>
      <c r="N66" s="16"/>
    </row>
    <row r="67" spans="1:15" x14ac:dyDescent="0.3">
      <c r="A67" s="16"/>
      <c r="B67" s="16"/>
      <c r="C67" s="16"/>
      <c r="D67" s="16"/>
      <c r="E67" s="16"/>
      <c r="F67" s="16"/>
      <c r="G67" s="16"/>
      <c r="H67" s="16"/>
      <c r="I67" s="16"/>
      <c r="J67" s="16"/>
      <c r="K67" s="16"/>
      <c r="L67" s="16"/>
      <c r="M67" s="16"/>
      <c r="N67" s="16"/>
    </row>
    <row r="68" spans="1:15" x14ac:dyDescent="0.3">
      <c r="A68" s="16"/>
      <c r="B68" s="3"/>
      <c r="C68" s="3"/>
      <c r="D68" s="3"/>
      <c r="E68" s="3"/>
      <c r="F68" s="3"/>
      <c r="G68" s="3"/>
      <c r="H68" s="3"/>
      <c r="I68" s="3"/>
      <c r="J68" s="3"/>
      <c r="K68" s="3"/>
      <c r="L68" s="3"/>
      <c r="M68" s="3"/>
      <c r="N68" s="16"/>
    </row>
    <row r="69" spans="1:15" x14ac:dyDescent="0.3">
      <c r="A69" s="16"/>
      <c r="B69" s="3"/>
      <c r="C69" s="4" t="s">
        <v>55</v>
      </c>
      <c r="D69" s="3"/>
      <c r="E69" s="3"/>
      <c r="F69" s="3"/>
      <c r="G69" s="3"/>
      <c r="H69" s="3"/>
      <c r="I69" s="3"/>
      <c r="J69" s="3"/>
      <c r="K69" s="3"/>
      <c r="L69" s="3"/>
      <c r="M69" s="3"/>
      <c r="N69" s="16"/>
    </row>
    <row r="70" spans="1:15" ht="42" customHeight="1" x14ac:dyDescent="0.3">
      <c r="A70" s="16"/>
      <c r="B70" s="3"/>
      <c r="C70" s="471" t="s">
        <v>236</v>
      </c>
      <c r="D70" s="471"/>
      <c r="E70" s="471"/>
      <c r="F70" s="471"/>
      <c r="G70" s="471"/>
      <c r="H70" s="471"/>
      <c r="I70" s="471"/>
      <c r="J70" s="471"/>
      <c r="K70" s="471"/>
      <c r="L70" s="3"/>
      <c r="M70" s="3"/>
      <c r="N70" s="16"/>
    </row>
    <row r="71" spans="1:15" x14ac:dyDescent="0.3">
      <c r="A71" s="16"/>
      <c r="B71" s="3"/>
      <c r="C71" s="4"/>
      <c r="D71" s="3"/>
      <c r="E71" s="12"/>
      <c r="F71" s="3"/>
      <c r="G71" s="3"/>
      <c r="H71" s="3"/>
      <c r="I71" s="3"/>
      <c r="J71" s="3"/>
      <c r="K71" s="3"/>
      <c r="L71" s="3"/>
      <c r="M71" s="3"/>
      <c r="N71" s="16"/>
    </row>
    <row r="72" spans="1:15" ht="15" customHeight="1" x14ac:dyDescent="0.3">
      <c r="A72" s="16"/>
      <c r="B72" s="3"/>
      <c r="C72" s="473" t="s">
        <v>22</v>
      </c>
      <c r="D72" s="472" t="s">
        <v>56</v>
      </c>
      <c r="E72" s="472"/>
      <c r="F72" s="472"/>
      <c r="G72" s="472"/>
      <c r="H72" s="472" t="s">
        <v>54</v>
      </c>
      <c r="I72" s="472"/>
      <c r="J72" s="472"/>
      <c r="K72" s="472"/>
      <c r="L72" s="3"/>
      <c r="M72" s="3"/>
      <c r="N72" s="16"/>
    </row>
    <row r="73" spans="1:15" ht="25.5" customHeight="1" x14ac:dyDescent="0.3">
      <c r="A73" s="16"/>
      <c r="B73" s="3"/>
      <c r="C73" s="474"/>
      <c r="D73" s="454" t="s">
        <v>77</v>
      </c>
      <c r="E73" s="454" t="s">
        <v>93</v>
      </c>
      <c r="F73" s="454" t="s">
        <v>237</v>
      </c>
      <c r="G73" s="454" t="s">
        <v>289</v>
      </c>
      <c r="H73" s="454" t="s">
        <v>77</v>
      </c>
      <c r="I73" s="454" t="s">
        <v>93</v>
      </c>
      <c r="J73" s="454" t="s">
        <v>76</v>
      </c>
      <c r="K73" s="454" t="s">
        <v>289</v>
      </c>
      <c r="L73" s="3"/>
      <c r="M73" s="3"/>
      <c r="N73" s="16"/>
    </row>
    <row r="74" spans="1:15" x14ac:dyDescent="0.3">
      <c r="A74" s="16"/>
      <c r="B74" s="3"/>
      <c r="C74" s="474"/>
      <c r="D74" s="475"/>
      <c r="E74" s="476"/>
      <c r="F74" s="476"/>
      <c r="G74" s="475"/>
      <c r="H74" s="475"/>
      <c r="I74" s="476"/>
      <c r="J74" s="456"/>
      <c r="K74" s="475"/>
      <c r="L74" s="3"/>
      <c r="M74" s="3"/>
      <c r="N74" s="16"/>
    </row>
    <row r="75" spans="1:15" x14ac:dyDescent="0.3">
      <c r="A75" s="16"/>
      <c r="B75" s="3"/>
      <c r="C75" s="7" t="s">
        <v>78</v>
      </c>
      <c r="D75" s="199">
        <f>Utbyggingsinformasjon!E47</f>
        <v>0</v>
      </c>
      <c r="E75" s="89">
        <v>9.3000000000000007</v>
      </c>
      <c r="F75" s="107">
        <f>(D75*E75)/1000</f>
        <v>0</v>
      </c>
      <c r="G75" s="90">
        <f>F75*2</f>
        <v>0</v>
      </c>
      <c r="H75" s="477">
        <f>D75-(D75*Utbyggingsinformasjon!M46)</f>
        <v>0</v>
      </c>
      <c r="I75" s="89">
        <v>9.3000000000000007</v>
      </c>
      <c r="J75" s="90">
        <f>(H75*I75)/1000</f>
        <v>0</v>
      </c>
      <c r="K75" s="90">
        <f>J75*2</f>
        <v>0</v>
      </c>
      <c r="L75" s="3"/>
      <c r="M75" s="3"/>
      <c r="N75" s="16"/>
      <c r="O75" s="2"/>
    </row>
    <row r="76" spans="1:15" x14ac:dyDescent="0.3">
      <c r="A76" s="16"/>
      <c r="B76" s="3"/>
      <c r="C76" s="7" t="s">
        <v>23</v>
      </c>
      <c r="D76" s="92"/>
      <c r="E76" s="93"/>
      <c r="F76" s="93"/>
      <c r="G76" s="94"/>
      <c r="H76" s="478"/>
      <c r="I76" s="89">
        <v>6.8</v>
      </c>
      <c r="J76" s="90">
        <f>(H75*I76)/1000</f>
        <v>0</v>
      </c>
      <c r="K76" s="90">
        <f t="shared" ref="K76:K77" si="7">J76*2</f>
        <v>0</v>
      </c>
      <c r="L76" s="3"/>
      <c r="M76" s="3"/>
      <c r="N76" s="16"/>
    </row>
    <row r="77" spans="1:15" x14ac:dyDescent="0.3">
      <c r="A77" s="16"/>
      <c r="B77" s="3"/>
      <c r="C77" s="7" t="s">
        <v>24</v>
      </c>
      <c r="D77" s="95"/>
      <c r="E77" s="96"/>
      <c r="F77" s="96"/>
      <c r="G77" s="97"/>
      <c r="H77" s="479"/>
      <c r="I77" s="108">
        <v>6</v>
      </c>
      <c r="J77" s="90">
        <f>(H75*I77)/1000</f>
        <v>0</v>
      </c>
      <c r="K77" s="90">
        <f t="shared" si="7"/>
        <v>0</v>
      </c>
      <c r="L77" s="3"/>
      <c r="M77" s="3"/>
      <c r="N77" s="16"/>
    </row>
    <row r="78" spans="1:15" x14ac:dyDescent="0.3">
      <c r="A78" s="16"/>
      <c r="B78" s="3"/>
      <c r="C78" s="3"/>
      <c r="D78" s="3"/>
      <c r="E78" s="3"/>
      <c r="F78" s="3"/>
      <c r="G78" s="3"/>
      <c r="H78" s="3"/>
      <c r="I78" s="12"/>
      <c r="J78" s="3"/>
      <c r="K78" s="3"/>
      <c r="L78" s="3"/>
      <c r="M78" s="3"/>
      <c r="N78" s="16"/>
    </row>
    <row r="79" spans="1:15" x14ac:dyDescent="0.3">
      <c r="A79" s="16"/>
      <c r="B79" s="3"/>
      <c r="C79" s="3"/>
      <c r="D79" s="3"/>
      <c r="E79" s="3"/>
      <c r="F79" s="3"/>
      <c r="G79" s="3"/>
      <c r="H79" s="3"/>
      <c r="I79" s="12"/>
      <c r="J79" s="3"/>
      <c r="K79" s="3"/>
      <c r="L79" s="3"/>
      <c r="M79" s="3"/>
      <c r="N79" s="16"/>
    </row>
    <row r="80" spans="1:15" ht="12.75" customHeight="1" x14ac:dyDescent="0.3">
      <c r="A80" s="16"/>
      <c r="B80" s="3"/>
      <c r="C80" s="3"/>
      <c r="D80" s="3"/>
      <c r="E80" s="3"/>
      <c r="F80" s="3"/>
      <c r="G80" s="521" t="s">
        <v>309</v>
      </c>
      <c r="H80" s="522"/>
      <c r="I80" s="437" t="str">
        <f>Utbyggingsinformasjon!M51</f>
        <v>Asfaltgrusbetong (default)</v>
      </c>
      <c r="J80" s="437"/>
      <c r="K80" s="438">
        <f>(VLOOKUP(I80,C75:K77,9,FALSE))</f>
        <v>0</v>
      </c>
      <c r="L80" s="3"/>
      <c r="M80" s="3"/>
      <c r="N80" s="16"/>
    </row>
    <row r="81" spans="1:14" x14ac:dyDescent="0.3">
      <c r="A81" s="16"/>
      <c r="B81" s="3"/>
      <c r="C81" s="4" t="s">
        <v>68</v>
      </c>
      <c r="D81" s="3"/>
      <c r="E81" s="3"/>
      <c r="F81" s="3"/>
      <c r="G81" s="521"/>
      <c r="H81" s="522"/>
      <c r="I81" s="437"/>
      <c r="J81" s="437"/>
      <c r="K81" s="438"/>
      <c r="L81" s="3"/>
      <c r="M81" s="3"/>
      <c r="N81" s="16"/>
    </row>
    <row r="82" spans="1:14" x14ac:dyDescent="0.3">
      <c r="A82" s="16"/>
      <c r="B82" s="3"/>
      <c r="C82" s="491" t="s">
        <v>69</v>
      </c>
      <c r="D82" s="322">
        <v>0</v>
      </c>
      <c r="E82" s="3"/>
      <c r="F82" s="3"/>
      <c r="G82" s="3"/>
      <c r="H82" s="3"/>
      <c r="I82" s="12"/>
      <c r="J82" s="12"/>
      <c r="K82" s="12"/>
      <c r="L82" s="3"/>
      <c r="M82" s="3"/>
      <c r="N82" s="16"/>
    </row>
    <row r="83" spans="1:14" x14ac:dyDescent="0.3">
      <c r="A83" s="16"/>
      <c r="B83" s="3"/>
      <c r="C83" s="491"/>
      <c r="D83" s="330">
        <v>0.05</v>
      </c>
      <c r="E83" s="3"/>
      <c r="F83" s="3"/>
      <c r="G83" s="3"/>
      <c r="H83" s="3"/>
      <c r="I83" s="12"/>
      <c r="J83" s="12"/>
      <c r="K83" s="12"/>
      <c r="L83" s="3"/>
      <c r="M83" s="3"/>
      <c r="N83" s="16"/>
    </row>
    <row r="84" spans="1:14" x14ac:dyDescent="0.3">
      <c r="A84" s="16"/>
      <c r="B84" s="3"/>
      <c r="C84" s="491"/>
      <c r="D84" s="330">
        <v>0.1</v>
      </c>
      <c r="E84" s="3"/>
      <c r="F84" s="3"/>
      <c r="G84" s="3"/>
      <c r="H84" s="3"/>
      <c r="I84" s="3"/>
      <c r="J84" s="3"/>
      <c r="K84" s="3"/>
      <c r="L84" s="3"/>
      <c r="M84" s="3"/>
      <c r="N84" s="16"/>
    </row>
    <row r="85" spans="1:14" x14ac:dyDescent="0.3">
      <c r="A85" s="16"/>
      <c r="B85" s="3"/>
      <c r="C85" s="491"/>
      <c r="D85" s="331">
        <v>0.15</v>
      </c>
      <c r="E85" s="3"/>
      <c r="F85" s="3"/>
      <c r="G85" s="3"/>
      <c r="H85" s="3"/>
      <c r="I85" s="3"/>
      <c r="J85" s="3"/>
      <c r="K85" s="3"/>
      <c r="L85" s="3"/>
      <c r="M85" s="3"/>
      <c r="N85" s="16"/>
    </row>
    <row r="86" spans="1:14" x14ac:dyDescent="0.3">
      <c r="A86" s="16"/>
      <c r="B86" s="3"/>
      <c r="C86" s="491"/>
      <c r="D86" s="331">
        <v>0.2</v>
      </c>
      <c r="E86" s="3"/>
      <c r="F86" s="3"/>
      <c r="G86" s="3"/>
      <c r="H86" s="3"/>
      <c r="I86" s="3"/>
      <c r="J86" s="3"/>
      <c r="K86" s="3"/>
      <c r="L86" s="3"/>
      <c r="M86" s="3"/>
      <c r="N86" s="16"/>
    </row>
    <row r="87" spans="1:14" x14ac:dyDescent="0.3">
      <c r="A87" s="16"/>
      <c r="B87" s="3"/>
      <c r="C87" s="491"/>
      <c r="D87" s="331">
        <v>0.25</v>
      </c>
      <c r="E87" s="3"/>
      <c r="F87" s="3"/>
      <c r="G87" s="3"/>
      <c r="H87" s="3"/>
      <c r="I87" s="3"/>
      <c r="J87" s="3"/>
      <c r="K87" s="3"/>
      <c r="L87" s="3"/>
      <c r="M87" s="3"/>
      <c r="N87" s="16"/>
    </row>
    <row r="88" spans="1:14" x14ac:dyDescent="0.3">
      <c r="A88" s="16"/>
      <c r="B88" s="3"/>
      <c r="C88" s="491"/>
      <c r="D88" s="331">
        <v>0.3</v>
      </c>
      <c r="E88" s="3"/>
      <c r="F88" s="3"/>
      <c r="G88" s="3"/>
      <c r="H88" s="3"/>
      <c r="I88" s="3"/>
      <c r="J88" s="3"/>
      <c r="K88" s="3"/>
      <c r="L88" s="3"/>
      <c r="M88" s="3"/>
      <c r="N88" s="16"/>
    </row>
    <row r="89" spans="1:14" x14ac:dyDescent="0.3">
      <c r="A89" s="16"/>
      <c r="B89" s="3"/>
      <c r="C89" s="491"/>
      <c r="D89" s="331">
        <v>0.35</v>
      </c>
      <c r="E89" s="3"/>
      <c r="F89" s="3"/>
      <c r="G89" s="3"/>
      <c r="H89" s="3"/>
      <c r="I89" s="3"/>
      <c r="J89" s="3"/>
      <c r="K89" s="3"/>
      <c r="L89" s="3"/>
      <c r="M89" s="3"/>
      <c r="N89" s="16"/>
    </row>
    <row r="90" spans="1:14" x14ac:dyDescent="0.3">
      <c r="A90" s="16"/>
      <c r="B90" s="3"/>
      <c r="C90" s="491"/>
      <c r="D90" s="331">
        <v>0.4</v>
      </c>
      <c r="E90" s="3"/>
      <c r="F90" s="3"/>
      <c r="G90" s="3"/>
      <c r="H90" s="3"/>
      <c r="I90" s="3"/>
      <c r="J90" s="3"/>
      <c r="K90" s="3"/>
      <c r="L90" s="3"/>
      <c r="M90" s="3"/>
      <c r="N90" s="16"/>
    </row>
    <row r="91" spans="1:14" x14ac:dyDescent="0.3">
      <c r="A91" s="16"/>
      <c r="B91" s="3"/>
      <c r="C91" s="491"/>
      <c r="D91" s="331">
        <v>0.5</v>
      </c>
      <c r="E91" s="3"/>
      <c r="F91" s="3"/>
      <c r="G91" s="3"/>
      <c r="H91" s="3"/>
      <c r="I91" s="3"/>
      <c r="J91" s="3"/>
      <c r="K91" s="3"/>
      <c r="L91" s="3"/>
      <c r="M91" s="3"/>
      <c r="N91" s="16"/>
    </row>
    <row r="92" spans="1:14" x14ac:dyDescent="0.3">
      <c r="A92" s="16"/>
      <c r="B92" s="3"/>
      <c r="C92" s="491"/>
      <c r="D92" s="331">
        <v>0.6</v>
      </c>
      <c r="E92" s="3"/>
      <c r="F92" s="3"/>
      <c r="G92" s="3"/>
      <c r="H92" s="3"/>
      <c r="I92" s="3"/>
      <c r="J92" s="3"/>
      <c r="K92" s="3"/>
      <c r="L92" s="3"/>
      <c r="M92" s="3"/>
      <c r="N92" s="16"/>
    </row>
    <row r="93" spans="1:14" x14ac:dyDescent="0.3">
      <c r="A93" s="16"/>
      <c r="B93" s="3"/>
      <c r="C93" s="491"/>
      <c r="D93" s="331">
        <v>0.7</v>
      </c>
      <c r="E93" s="3"/>
      <c r="F93" s="3"/>
      <c r="G93" s="3"/>
      <c r="H93" s="3"/>
      <c r="I93" s="3"/>
      <c r="J93" s="3"/>
      <c r="K93" s="3"/>
      <c r="L93" s="3"/>
      <c r="M93" s="3"/>
      <c r="N93" s="16"/>
    </row>
    <row r="94" spans="1:14" x14ac:dyDescent="0.3">
      <c r="A94" s="16"/>
      <c r="B94" s="3"/>
      <c r="C94" s="491"/>
      <c r="D94" s="331">
        <v>0.8</v>
      </c>
      <c r="E94" s="3"/>
      <c r="F94" s="3"/>
      <c r="G94" s="3"/>
      <c r="H94" s="3"/>
      <c r="I94" s="3"/>
      <c r="J94" s="3"/>
      <c r="K94" s="3"/>
      <c r="L94" s="3"/>
      <c r="M94" s="3"/>
      <c r="N94" s="16"/>
    </row>
    <row r="95" spans="1:14" x14ac:dyDescent="0.3">
      <c r="A95" s="16"/>
      <c r="B95" s="3"/>
      <c r="C95" s="491"/>
      <c r="D95" s="331">
        <v>0.9</v>
      </c>
      <c r="E95" s="3"/>
      <c r="F95" s="3"/>
      <c r="G95" s="3"/>
      <c r="H95" s="3"/>
      <c r="I95" s="3"/>
      <c r="J95" s="3"/>
      <c r="K95" s="3"/>
      <c r="L95" s="3"/>
      <c r="M95" s="3"/>
      <c r="N95" s="16"/>
    </row>
    <row r="96" spans="1:14" x14ac:dyDescent="0.3">
      <c r="A96" s="16"/>
      <c r="B96" s="3"/>
      <c r="C96" s="491"/>
      <c r="D96" s="331">
        <v>1</v>
      </c>
      <c r="E96" s="3"/>
      <c r="F96" s="3"/>
      <c r="G96" s="3"/>
      <c r="H96" s="3"/>
      <c r="I96" s="3"/>
      <c r="J96" s="3"/>
      <c r="K96" s="3"/>
      <c r="L96" s="3"/>
      <c r="M96" s="3"/>
      <c r="N96" s="16"/>
    </row>
    <row r="97" spans="1:14" x14ac:dyDescent="0.3">
      <c r="A97" s="16"/>
      <c r="B97" s="3"/>
      <c r="C97" s="169"/>
      <c r="D97" s="3"/>
      <c r="E97" s="3"/>
      <c r="F97" s="3"/>
      <c r="G97" s="3"/>
      <c r="H97" s="3"/>
      <c r="I97" s="3"/>
      <c r="J97" s="3"/>
      <c r="K97" s="3"/>
      <c r="L97" s="3"/>
      <c r="M97" s="3"/>
      <c r="N97" s="16"/>
    </row>
    <row r="98" spans="1:14" x14ac:dyDescent="0.3">
      <c r="A98" s="16"/>
      <c r="B98" s="3"/>
      <c r="C98" s="169"/>
      <c r="D98" s="3"/>
      <c r="E98" s="3"/>
      <c r="F98" s="3"/>
      <c r="G98" s="3"/>
      <c r="H98" s="3"/>
      <c r="I98" s="3"/>
      <c r="J98" s="3"/>
      <c r="K98" s="3"/>
      <c r="L98" s="3"/>
      <c r="M98" s="3"/>
      <c r="N98" s="16"/>
    </row>
    <row r="99" spans="1:14" x14ac:dyDescent="0.3">
      <c r="A99" s="16"/>
      <c r="B99" s="16"/>
      <c r="C99" s="16"/>
      <c r="D99" s="16"/>
      <c r="E99" s="16"/>
      <c r="F99" s="16"/>
      <c r="G99" s="16"/>
      <c r="H99" s="16"/>
      <c r="I99" s="16"/>
      <c r="J99" s="16"/>
      <c r="K99" s="16"/>
      <c r="L99" s="16"/>
      <c r="M99" s="16"/>
      <c r="N99" s="16"/>
    </row>
    <row r="100" spans="1:14" x14ac:dyDescent="0.3">
      <c r="A100" s="16"/>
      <c r="B100" s="3"/>
      <c r="C100" s="3"/>
      <c r="D100" s="3"/>
      <c r="E100" s="3"/>
      <c r="F100" s="3"/>
      <c r="G100" s="3"/>
      <c r="H100" s="3"/>
      <c r="I100" s="3"/>
      <c r="J100" s="3"/>
      <c r="K100" s="3"/>
      <c r="L100" s="3"/>
      <c r="M100" s="3"/>
      <c r="N100" s="16"/>
    </row>
    <row r="101" spans="1:14" x14ac:dyDescent="0.3">
      <c r="A101" s="16"/>
      <c r="B101" s="3"/>
      <c r="C101" s="4" t="s">
        <v>156</v>
      </c>
      <c r="D101" s="3"/>
      <c r="E101" s="3"/>
      <c r="F101" s="3"/>
      <c r="G101" s="3"/>
      <c r="H101" s="3"/>
      <c r="I101" s="3"/>
      <c r="J101" s="3"/>
      <c r="K101" s="3"/>
      <c r="L101" s="3"/>
      <c r="M101" s="3"/>
      <c r="N101" s="16"/>
    </row>
    <row r="102" spans="1:14" ht="50.25" customHeight="1" x14ac:dyDescent="0.3">
      <c r="A102" s="16"/>
      <c r="B102" s="3"/>
      <c r="C102" s="387" t="s">
        <v>363</v>
      </c>
      <c r="D102" s="387"/>
      <c r="E102" s="387"/>
      <c r="F102" s="387"/>
      <c r="G102" s="387"/>
      <c r="H102" s="387"/>
      <c r="I102" s="387"/>
      <c r="J102" s="387"/>
      <c r="K102" s="387"/>
      <c r="L102" s="3"/>
      <c r="M102" s="3"/>
      <c r="N102" s="16"/>
    </row>
    <row r="103" spans="1:14" x14ac:dyDescent="0.3">
      <c r="A103" s="16"/>
      <c r="B103" s="3"/>
      <c r="C103" s="169"/>
      <c r="D103" s="3"/>
      <c r="E103" s="3"/>
      <c r="F103" s="3"/>
      <c r="G103" s="3"/>
      <c r="H103" s="3"/>
      <c r="I103" s="3"/>
      <c r="J103" s="3"/>
      <c r="K103" s="3"/>
      <c r="L103" s="3"/>
      <c r="M103" s="3"/>
      <c r="N103" s="16"/>
    </row>
    <row r="104" spans="1:14" ht="39" x14ac:dyDescent="0.3">
      <c r="A104" s="16"/>
      <c r="B104" s="3"/>
      <c r="C104" s="462" t="s">
        <v>157</v>
      </c>
      <c r="D104" s="508"/>
      <c r="E104" s="47" t="s">
        <v>160</v>
      </c>
      <c r="F104" s="47" t="s">
        <v>359</v>
      </c>
      <c r="G104" s="47" t="s">
        <v>360</v>
      </c>
      <c r="H104" s="47" t="s">
        <v>361</v>
      </c>
      <c r="I104" s="47" t="s">
        <v>362</v>
      </c>
      <c r="J104" s="3"/>
      <c r="K104" s="3"/>
      <c r="L104" s="3"/>
      <c r="M104" s="3"/>
      <c r="N104" s="16"/>
    </row>
    <row r="105" spans="1:14" x14ac:dyDescent="0.3">
      <c r="A105" s="16"/>
      <c r="B105" s="3"/>
      <c r="C105" s="416" t="s">
        <v>158</v>
      </c>
      <c r="D105" s="416"/>
      <c r="E105" s="432">
        <f>Utbyggingsinformasjon!E35</f>
        <v>0</v>
      </c>
      <c r="F105" s="89">
        <v>20.5</v>
      </c>
      <c r="G105" s="108">
        <v>32.659999999999997</v>
      </c>
      <c r="H105" s="120">
        <f>F105*$E$105/1000</f>
        <v>0</v>
      </c>
      <c r="I105" s="120">
        <f>G105*$E$105/1000</f>
        <v>0</v>
      </c>
      <c r="J105" s="3"/>
      <c r="K105" s="3"/>
      <c r="L105" s="3"/>
      <c r="M105" s="3"/>
      <c r="N105" s="16"/>
    </row>
    <row r="106" spans="1:14" x14ac:dyDescent="0.3">
      <c r="A106" s="16"/>
      <c r="B106" s="3"/>
      <c r="C106" s="430" t="s">
        <v>161</v>
      </c>
      <c r="D106" s="431"/>
      <c r="E106" s="433"/>
      <c r="F106" s="89">
        <v>7.7</v>
      </c>
      <c r="G106" s="108">
        <v>19.895</v>
      </c>
      <c r="H106" s="120">
        <f t="shared" ref="H106:I107" si="8">F106*$E$105/1000</f>
        <v>0</v>
      </c>
      <c r="I106" s="120">
        <f t="shared" si="8"/>
        <v>0</v>
      </c>
      <c r="J106" s="3"/>
      <c r="K106" s="3"/>
      <c r="L106" s="3"/>
      <c r="M106" s="3"/>
      <c r="N106" s="16"/>
    </row>
    <row r="107" spans="1:14" x14ac:dyDescent="0.3">
      <c r="A107" s="16"/>
      <c r="B107" s="3"/>
      <c r="C107" s="430" t="s">
        <v>358</v>
      </c>
      <c r="D107" s="431"/>
      <c r="E107" s="434"/>
      <c r="F107" s="108">
        <v>1.9550000000000001</v>
      </c>
      <c r="G107" s="108">
        <v>21.39</v>
      </c>
      <c r="H107" s="120">
        <f t="shared" si="8"/>
        <v>0</v>
      </c>
      <c r="I107" s="120">
        <f t="shared" si="8"/>
        <v>0</v>
      </c>
      <c r="J107" s="3"/>
      <c r="K107" s="3"/>
      <c r="L107" s="3"/>
      <c r="M107" s="3"/>
      <c r="N107" s="16"/>
    </row>
    <row r="108" spans="1:14" x14ac:dyDescent="0.3">
      <c r="A108" s="16"/>
      <c r="B108" s="3"/>
      <c r="C108" s="169"/>
      <c r="D108" s="3"/>
      <c r="E108" s="3"/>
      <c r="F108" s="3"/>
      <c r="G108" s="3"/>
      <c r="H108" s="3"/>
      <c r="I108" s="3"/>
      <c r="J108" s="3"/>
      <c r="K108" s="3"/>
      <c r="L108" s="3"/>
      <c r="M108" s="3"/>
      <c r="N108" s="16"/>
    </row>
    <row r="109" spans="1:14" ht="20.25" customHeight="1" x14ac:dyDescent="0.3">
      <c r="A109" s="16"/>
      <c r="B109" s="3"/>
      <c r="C109" s="169"/>
      <c r="D109" s="169"/>
      <c r="E109" s="312" t="s">
        <v>310</v>
      </c>
      <c r="F109" s="435" t="str">
        <f>Utbyggingsinformasjon!M61</f>
        <v>Byggeplass med fossil diesel (default)</v>
      </c>
      <c r="G109" s="436"/>
      <c r="H109" s="311">
        <f>VLOOKUP(F109,C105:I107,6,FALSE)</f>
        <v>0</v>
      </c>
      <c r="I109" s="361">
        <f>VLOOKUP(F109,C105:I107,7,FALSE)</f>
        <v>0</v>
      </c>
      <c r="J109" s="3"/>
      <c r="K109" s="3"/>
      <c r="L109" s="3"/>
      <c r="M109" s="3"/>
      <c r="N109" s="16"/>
    </row>
    <row r="110" spans="1:14" x14ac:dyDescent="0.3">
      <c r="A110" s="16"/>
      <c r="B110" s="3"/>
      <c r="C110" s="169"/>
      <c r="D110" s="3"/>
      <c r="E110" s="3"/>
      <c r="F110" s="3"/>
      <c r="G110" s="3"/>
      <c r="H110" s="3"/>
      <c r="I110" s="3"/>
      <c r="J110" s="3"/>
      <c r="K110" s="3"/>
      <c r="L110" s="3"/>
      <c r="M110" s="3"/>
      <c r="N110" s="16"/>
    </row>
    <row r="111" spans="1:14" x14ac:dyDescent="0.3">
      <c r="A111" s="16"/>
      <c r="B111" s="16"/>
      <c r="C111" s="16"/>
      <c r="D111" s="16"/>
      <c r="E111" s="16"/>
      <c r="F111" s="16"/>
      <c r="G111" s="16"/>
      <c r="H111" s="16"/>
      <c r="I111" s="16"/>
      <c r="J111" s="16"/>
      <c r="K111" s="16"/>
      <c r="L111" s="16"/>
      <c r="M111" s="16"/>
      <c r="N111" s="16"/>
    </row>
    <row r="112" spans="1:14" x14ac:dyDescent="0.3">
      <c r="A112" s="16"/>
      <c r="B112" s="3"/>
      <c r="C112" s="3"/>
      <c r="D112" s="3"/>
      <c r="E112" s="3"/>
      <c r="F112" s="3"/>
      <c r="G112" s="3"/>
      <c r="H112" s="3"/>
      <c r="I112" s="3"/>
      <c r="J112" s="3"/>
      <c r="K112" s="3"/>
      <c r="L112" s="3"/>
      <c r="M112" s="3"/>
      <c r="N112" s="16"/>
    </row>
    <row r="113" spans="1:19" x14ac:dyDescent="0.3">
      <c r="A113" s="16"/>
      <c r="B113" s="3"/>
      <c r="C113" s="4" t="s">
        <v>253</v>
      </c>
      <c r="D113" s="3"/>
      <c r="E113" s="3"/>
      <c r="F113" s="3"/>
      <c r="G113" s="3"/>
      <c r="H113" s="3"/>
      <c r="I113" s="3"/>
      <c r="J113" s="3"/>
      <c r="K113" s="3"/>
      <c r="L113" s="3"/>
      <c r="M113" s="3"/>
      <c r="N113" s="16"/>
    </row>
    <row r="114" spans="1:19" ht="46.5" customHeight="1" x14ac:dyDescent="0.35">
      <c r="A114" s="16"/>
      <c r="B114" s="3"/>
      <c r="C114" s="387" t="s">
        <v>290</v>
      </c>
      <c r="D114" s="387"/>
      <c r="E114" s="387"/>
      <c r="F114" s="387"/>
      <c r="G114" s="387"/>
      <c r="H114" s="387"/>
      <c r="I114" s="387"/>
      <c r="J114" s="387"/>
      <c r="K114" s="387"/>
      <c r="L114" s="3"/>
      <c r="M114" s="3"/>
      <c r="N114" s="16"/>
      <c r="P114"/>
      <c r="Q114"/>
      <c r="R114"/>
      <c r="S114"/>
    </row>
    <row r="115" spans="1:19" ht="14.5" x14ac:dyDescent="0.35">
      <c r="A115" s="16"/>
      <c r="B115" s="3"/>
      <c r="C115" s="3"/>
      <c r="D115" s="472" t="s">
        <v>254</v>
      </c>
      <c r="E115" s="472"/>
      <c r="F115" s="472"/>
      <c r="G115" s="472"/>
      <c r="H115" s="472" t="s">
        <v>255</v>
      </c>
      <c r="I115" s="472"/>
      <c r="J115" s="472"/>
      <c r="K115" s="472"/>
      <c r="L115" s="3"/>
      <c r="M115" s="3"/>
      <c r="N115" s="16"/>
      <c r="P115"/>
      <c r="Q115"/>
      <c r="R115"/>
      <c r="S115"/>
    </row>
    <row r="116" spans="1:19" ht="26.5" x14ac:dyDescent="0.35">
      <c r="A116" s="16"/>
      <c r="B116" s="3"/>
      <c r="C116" s="118" t="s">
        <v>256</v>
      </c>
      <c r="D116" s="47" t="s">
        <v>257</v>
      </c>
      <c r="E116" s="47" t="s">
        <v>291</v>
      </c>
      <c r="F116" s="47" t="s">
        <v>258</v>
      </c>
      <c r="G116" s="47" t="s">
        <v>292</v>
      </c>
      <c r="H116" s="47" t="s">
        <v>257</v>
      </c>
      <c r="I116" s="47" t="s">
        <v>291</v>
      </c>
      <c r="J116" s="47" t="s">
        <v>258</v>
      </c>
      <c r="K116" s="47" t="s">
        <v>292</v>
      </c>
      <c r="L116" s="3"/>
      <c r="M116" s="3"/>
      <c r="N116" s="16"/>
      <c r="P116"/>
      <c r="Q116"/>
      <c r="R116"/>
      <c r="S116"/>
    </row>
    <row r="117" spans="1:19" ht="14.5" x14ac:dyDescent="0.35">
      <c r="A117" s="16"/>
      <c r="B117" s="3"/>
      <c r="C117" s="7" t="s">
        <v>259</v>
      </c>
      <c r="D117" s="113">
        <f>Utbyggingsinformasjon!F65</f>
        <v>0</v>
      </c>
      <c r="E117" s="104">
        <f>Utbyggingsinformasjon!F67</f>
        <v>0</v>
      </c>
      <c r="F117" s="89">
        <v>0.09</v>
      </c>
      <c r="G117" s="104">
        <f>2*D117*E117*F117/1000</f>
        <v>0</v>
      </c>
      <c r="H117" s="113">
        <f>Utbyggingsinformasjon!M70</f>
        <v>0</v>
      </c>
      <c r="I117" s="104">
        <f>Utbyggingsinformasjon!F67</f>
        <v>0</v>
      </c>
      <c r="J117" s="89">
        <v>0.09</v>
      </c>
      <c r="K117" s="104">
        <f>2*H117*I117*J117/1000</f>
        <v>0</v>
      </c>
      <c r="L117" s="3"/>
      <c r="M117" s="3"/>
      <c r="N117" s="16"/>
      <c r="P117"/>
      <c r="Q117"/>
      <c r="R117"/>
      <c r="S117"/>
    </row>
    <row r="118" spans="1:19" ht="14.5" x14ac:dyDescent="0.35">
      <c r="A118" s="16"/>
      <c r="B118" s="3"/>
      <c r="C118" s="3"/>
      <c r="D118" s="3"/>
      <c r="E118" s="3"/>
      <c r="F118" s="3"/>
      <c r="G118" s="3"/>
      <c r="H118" s="3"/>
      <c r="I118" s="3"/>
      <c r="J118" s="3"/>
      <c r="K118" s="3"/>
      <c r="L118" s="3"/>
      <c r="M118" s="3"/>
      <c r="N118" s="16"/>
      <c r="P118"/>
      <c r="Q118"/>
      <c r="R118"/>
      <c r="S118"/>
    </row>
    <row r="119" spans="1:19" ht="14.5" x14ac:dyDescent="0.35">
      <c r="A119" s="16"/>
      <c r="B119" s="3"/>
      <c r="C119" s="4" t="s">
        <v>68</v>
      </c>
      <c r="D119" s="3"/>
      <c r="E119" s="3"/>
      <c r="F119" s="3"/>
      <c r="G119" s="3"/>
      <c r="H119" s="3"/>
      <c r="I119" s="3"/>
      <c r="J119" s="3"/>
      <c r="K119" s="3"/>
      <c r="L119" s="3"/>
      <c r="M119" s="3"/>
      <c r="N119" s="16"/>
      <c r="P119"/>
      <c r="Q119"/>
      <c r="R119"/>
      <c r="S119"/>
    </row>
    <row r="120" spans="1:19" ht="14.5" x14ac:dyDescent="0.35">
      <c r="A120" s="16"/>
      <c r="B120" s="3"/>
      <c r="C120" s="485" t="s">
        <v>67</v>
      </c>
      <c r="D120" s="322">
        <v>0</v>
      </c>
      <c r="E120" s="3"/>
      <c r="F120" s="3"/>
      <c r="G120" s="3"/>
      <c r="H120" s="3"/>
      <c r="I120" s="3"/>
      <c r="J120" s="3"/>
      <c r="K120" s="3"/>
      <c r="L120" s="3"/>
      <c r="M120" s="3"/>
      <c r="N120" s="16"/>
      <c r="P120"/>
      <c r="Q120"/>
      <c r="R120"/>
      <c r="S120"/>
    </row>
    <row r="121" spans="1:19" ht="14.5" x14ac:dyDescent="0.35">
      <c r="A121" s="16"/>
      <c r="B121" s="3"/>
      <c r="C121" s="486"/>
      <c r="D121" s="330">
        <v>0.2</v>
      </c>
      <c r="E121" s="3"/>
      <c r="F121" s="3"/>
      <c r="G121" s="3"/>
      <c r="H121" s="3"/>
      <c r="I121" s="3"/>
      <c r="J121" s="3"/>
      <c r="K121" s="3"/>
      <c r="L121" s="3"/>
      <c r="M121" s="3"/>
      <c r="N121" s="16"/>
      <c r="P121"/>
      <c r="Q121"/>
      <c r="R121"/>
      <c r="S121"/>
    </row>
    <row r="122" spans="1:19" ht="14.5" x14ac:dyDescent="0.35">
      <c r="A122" s="16"/>
      <c r="B122" s="3"/>
      <c r="C122" s="486"/>
      <c r="D122" s="330">
        <v>0.4</v>
      </c>
      <c r="E122" s="3"/>
      <c r="F122" s="3"/>
      <c r="G122" s="3"/>
      <c r="H122" s="3"/>
      <c r="I122" s="3"/>
      <c r="J122" s="3"/>
      <c r="K122" s="3"/>
      <c r="L122" s="3"/>
      <c r="M122" s="3"/>
      <c r="N122" s="16"/>
      <c r="P122"/>
      <c r="Q122"/>
      <c r="R122"/>
      <c r="S122"/>
    </row>
    <row r="123" spans="1:19" ht="14.5" x14ac:dyDescent="0.35">
      <c r="A123" s="16"/>
      <c r="B123" s="3"/>
      <c r="C123" s="486"/>
      <c r="D123" s="331">
        <v>0.6</v>
      </c>
      <c r="E123" s="3"/>
      <c r="F123" s="3"/>
      <c r="G123" s="3"/>
      <c r="H123" s="3"/>
      <c r="I123" s="3"/>
      <c r="J123" s="3"/>
      <c r="K123" s="3"/>
      <c r="L123" s="3"/>
      <c r="M123" s="3"/>
      <c r="N123" s="16"/>
      <c r="P123"/>
      <c r="Q123"/>
      <c r="R123"/>
      <c r="S123"/>
    </row>
    <row r="124" spans="1:19" ht="14.5" x14ac:dyDescent="0.35">
      <c r="A124" s="16"/>
      <c r="B124" s="3"/>
      <c r="C124" s="486"/>
      <c r="D124" s="331">
        <v>0.8</v>
      </c>
      <c r="E124" s="3"/>
      <c r="F124" s="3"/>
      <c r="G124" s="3"/>
      <c r="H124" s="3"/>
      <c r="I124" s="3"/>
      <c r="J124" s="3"/>
      <c r="K124" s="3"/>
      <c r="L124" s="3"/>
      <c r="M124" s="3"/>
      <c r="N124" s="16"/>
      <c r="P124"/>
      <c r="Q124"/>
      <c r="R124"/>
      <c r="S124"/>
    </row>
    <row r="125" spans="1:19" ht="14.5" x14ac:dyDescent="0.35">
      <c r="A125" s="16"/>
      <c r="B125" s="3"/>
      <c r="C125" s="487"/>
      <c r="D125" s="331">
        <v>1</v>
      </c>
      <c r="E125" s="3"/>
      <c r="F125" s="3"/>
      <c r="G125" s="3"/>
      <c r="H125" s="3"/>
      <c r="I125" s="3"/>
      <c r="J125" s="3"/>
      <c r="K125" s="3"/>
      <c r="L125" s="3"/>
      <c r="M125" s="3"/>
      <c r="N125" s="16"/>
      <c r="P125"/>
      <c r="Q125"/>
      <c r="R125"/>
      <c r="S125"/>
    </row>
    <row r="126" spans="1:19" x14ac:dyDescent="0.3">
      <c r="A126" s="16"/>
      <c r="B126" s="3"/>
      <c r="C126" s="3"/>
      <c r="D126" s="3"/>
      <c r="E126" s="3"/>
      <c r="F126" s="3"/>
      <c r="G126" s="3"/>
      <c r="H126" s="3"/>
      <c r="I126" s="3"/>
      <c r="J126" s="3"/>
      <c r="K126" s="3"/>
      <c r="L126" s="3"/>
      <c r="M126" s="3"/>
      <c r="N126" s="16"/>
    </row>
    <row r="127" spans="1:19" x14ac:dyDescent="0.3">
      <c r="A127" s="16"/>
      <c r="B127" s="3"/>
      <c r="C127" s="3"/>
      <c r="D127" s="3"/>
      <c r="E127" s="3"/>
      <c r="F127" s="3"/>
      <c r="G127" s="3"/>
      <c r="H127" s="3"/>
      <c r="I127" s="12"/>
      <c r="J127" s="3"/>
      <c r="K127" s="3"/>
      <c r="L127" s="3"/>
      <c r="M127" s="3"/>
      <c r="N127" s="16"/>
    </row>
    <row r="128" spans="1:19" ht="13.5" thickBot="1" x14ac:dyDescent="0.35">
      <c r="A128" s="56"/>
      <c r="B128" s="57"/>
      <c r="C128" s="57"/>
      <c r="D128" s="57"/>
      <c r="E128" s="57"/>
      <c r="F128" s="57"/>
      <c r="G128" s="57"/>
      <c r="H128" s="58"/>
      <c r="I128" s="58"/>
      <c r="J128" s="57"/>
      <c r="K128" s="59"/>
      <c r="L128" s="57"/>
      <c r="M128" s="57"/>
      <c r="N128" s="56"/>
    </row>
    <row r="129" spans="1:14" ht="31.5" customHeight="1" thickBot="1" x14ac:dyDescent="0.35">
      <c r="A129" s="488" t="s">
        <v>31</v>
      </c>
      <c r="B129" s="488"/>
      <c r="C129" s="488"/>
      <c r="D129" s="488"/>
      <c r="E129" s="488"/>
      <c r="F129" s="488"/>
      <c r="G129" s="488"/>
      <c r="H129" s="488"/>
      <c r="I129" s="488"/>
      <c r="J129" s="488"/>
      <c r="K129" s="488"/>
      <c r="L129" s="488"/>
      <c r="M129" s="488"/>
      <c r="N129" s="488"/>
    </row>
    <row r="130" spans="1:14" x14ac:dyDescent="0.3">
      <c r="A130" s="16"/>
      <c r="B130" s="3"/>
      <c r="C130" s="12"/>
      <c r="D130" s="3"/>
      <c r="E130" s="3"/>
      <c r="F130" s="3"/>
      <c r="G130" s="3"/>
      <c r="H130" s="3"/>
      <c r="I130" s="3"/>
      <c r="J130" s="3"/>
      <c r="K130" s="3"/>
      <c r="L130" s="3"/>
      <c r="M130" s="3"/>
      <c r="N130" s="16"/>
    </row>
    <row r="131" spans="1:14" ht="61.5" customHeight="1" x14ac:dyDescent="0.3">
      <c r="A131" s="16"/>
      <c r="B131" s="3"/>
      <c r="C131" s="387" t="s">
        <v>346</v>
      </c>
      <c r="D131" s="387"/>
      <c r="E131" s="387"/>
      <c r="F131" s="387"/>
      <c r="G131" s="387"/>
      <c r="H131" s="387"/>
      <c r="I131" s="387"/>
      <c r="J131" s="387"/>
      <c r="K131" s="387"/>
      <c r="L131" s="387"/>
      <c r="M131" s="52"/>
      <c r="N131" s="29"/>
    </row>
    <row r="132" spans="1:14" x14ac:dyDescent="0.3">
      <c r="A132" s="16"/>
      <c r="B132" s="16"/>
      <c r="C132" s="16"/>
      <c r="D132" s="16"/>
      <c r="E132" s="16"/>
      <c r="F132" s="16"/>
      <c r="G132" s="16"/>
      <c r="H132" s="16"/>
      <c r="I132" s="16"/>
      <c r="J132" s="16"/>
      <c r="K132" s="16"/>
      <c r="L132" s="16"/>
      <c r="M132" s="16"/>
      <c r="N132" s="16"/>
    </row>
    <row r="133" spans="1:14" x14ac:dyDescent="0.3">
      <c r="A133" s="16"/>
      <c r="B133" s="3"/>
      <c r="C133" s="12"/>
      <c r="D133" s="3"/>
      <c r="E133" s="3"/>
      <c r="F133" s="3"/>
      <c r="G133" s="3"/>
      <c r="H133" s="3"/>
      <c r="I133" s="3"/>
      <c r="J133" s="3"/>
      <c r="K133" s="3"/>
      <c r="L133" s="3"/>
      <c r="M133" s="3"/>
      <c r="N133" s="16"/>
    </row>
    <row r="134" spans="1:14" x14ac:dyDescent="0.3">
      <c r="A134" s="16"/>
      <c r="B134" s="3"/>
      <c r="C134" s="4" t="s">
        <v>231</v>
      </c>
      <c r="D134" s="3"/>
      <c r="E134" s="3"/>
      <c r="F134" s="3"/>
      <c r="G134" s="3"/>
      <c r="H134" s="3"/>
      <c r="I134" s="3"/>
      <c r="J134" s="3"/>
      <c r="K134" s="3"/>
      <c r="L134" s="3"/>
      <c r="M134" s="3"/>
      <c r="N134" s="16"/>
    </row>
    <row r="135" spans="1:14" ht="27.75" customHeight="1" x14ac:dyDescent="0.3">
      <c r="A135" s="16"/>
      <c r="B135" s="3"/>
      <c r="C135" s="395" t="s">
        <v>270</v>
      </c>
      <c r="D135" s="395"/>
      <c r="E135" s="395"/>
      <c r="F135" s="395"/>
      <c r="G135" s="395"/>
      <c r="H135" s="395"/>
      <c r="I135" s="395"/>
      <c r="J135" s="395"/>
      <c r="K135" s="395"/>
      <c r="L135" s="395"/>
      <c r="M135" s="52"/>
      <c r="N135" s="16"/>
    </row>
    <row r="136" spans="1:14" x14ac:dyDescent="0.3">
      <c r="A136" s="16"/>
      <c r="B136" s="3"/>
      <c r="C136" s="3"/>
      <c r="D136" s="3"/>
      <c r="E136" s="3"/>
      <c r="F136" s="3"/>
      <c r="G136" s="3"/>
      <c r="H136" s="3"/>
      <c r="I136" s="3"/>
      <c r="J136" s="3"/>
      <c r="K136" s="3"/>
      <c r="L136" s="3"/>
      <c r="M136" s="3"/>
      <c r="N136" s="16"/>
    </row>
    <row r="137" spans="1:14" x14ac:dyDescent="0.3">
      <c r="A137" s="16"/>
      <c r="B137" s="3"/>
      <c r="C137" s="489" t="s">
        <v>168</v>
      </c>
      <c r="D137" s="459" t="s">
        <v>180</v>
      </c>
      <c r="E137" s="460"/>
      <c r="F137" s="461"/>
      <c r="G137" s="14"/>
      <c r="H137" s="14"/>
      <c r="I137" s="490"/>
      <c r="J137" s="490"/>
      <c r="K137" s="490"/>
      <c r="L137" s="490"/>
      <c r="M137" s="54"/>
      <c r="N137" s="16"/>
    </row>
    <row r="138" spans="1:14" x14ac:dyDescent="0.3">
      <c r="A138" s="16"/>
      <c r="B138" s="3"/>
      <c r="C138" s="442"/>
      <c r="D138" s="50" t="s">
        <v>194</v>
      </c>
      <c r="E138" s="179" t="s">
        <v>178</v>
      </c>
      <c r="F138" s="179" t="s">
        <v>195</v>
      </c>
      <c r="G138" s="14"/>
      <c r="H138" s="17"/>
      <c r="I138" s="14"/>
      <c r="J138" s="14"/>
      <c r="K138" s="14"/>
      <c r="L138" s="14"/>
      <c r="M138" s="14"/>
      <c r="N138" s="16"/>
    </row>
    <row r="139" spans="1:14" x14ac:dyDescent="0.3">
      <c r="A139" s="20"/>
      <c r="B139" s="21"/>
      <c r="C139" s="18" t="s">
        <v>45</v>
      </c>
      <c r="D139" s="98">
        <v>115</v>
      </c>
      <c r="E139" s="99">
        <v>180</v>
      </c>
      <c r="F139" s="99">
        <v>140</v>
      </c>
      <c r="G139" s="22"/>
      <c r="H139" s="17"/>
      <c r="I139" s="23"/>
      <c r="J139" s="23"/>
      <c r="K139" s="23"/>
      <c r="L139" s="23"/>
      <c r="M139" s="23"/>
      <c r="N139" s="20"/>
    </row>
    <row r="140" spans="1:14" x14ac:dyDescent="0.3">
      <c r="A140" s="20"/>
      <c r="B140" s="21"/>
      <c r="C140" s="19" t="s">
        <v>32</v>
      </c>
      <c r="D140" s="109">
        <v>86</v>
      </c>
      <c r="E140" s="103">
        <v>95</v>
      </c>
      <c r="F140" s="103">
        <v>86</v>
      </c>
      <c r="G140" s="22"/>
      <c r="H140" s="17"/>
      <c r="I140" s="23"/>
      <c r="J140" s="23"/>
      <c r="K140" s="23"/>
      <c r="L140" s="23"/>
      <c r="M140" s="23"/>
      <c r="N140" s="20"/>
    </row>
    <row r="141" spans="1:14" x14ac:dyDescent="0.3">
      <c r="A141" s="16"/>
      <c r="B141" s="3"/>
      <c r="C141" s="3"/>
      <c r="D141" s="3"/>
      <c r="E141" s="3"/>
      <c r="F141" s="3"/>
      <c r="G141" s="3"/>
      <c r="H141" s="3"/>
      <c r="I141" s="3"/>
      <c r="J141" s="3"/>
      <c r="K141" s="3"/>
      <c r="L141" s="3"/>
      <c r="M141" s="3"/>
      <c r="N141" s="16"/>
    </row>
    <row r="142" spans="1:14" x14ac:dyDescent="0.3">
      <c r="A142" s="16"/>
      <c r="B142" s="3"/>
      <c r="C142" s="3"/>
      <c r="D142" s="3"/>
      <c r="E142" s="3"/>
      <c r="F142" s="3"/>
      <c r="G142" s="3"/>
      <c r="H142" s="3"/>
      <c r="I142" s="3"/>
      <c r="J142" s="3"/>
      <c r="K142" s="3"/>
      <c r="L142" s="3"/>
      <c r="M142" s="3"/>
      <c r="N142" s="16"/>
    </row>
    <row r="143" spans="1:14" x14ac:dyDescent="0.3">
      <c r="A143" s="16"/>
      <c r="B143" s="16"/>
      <c r="C143" s="16"/>
      <c r="D143" s="16"/>
      <c r="E143" s="16"/>
      <c r="F143" s="16"/>
      <c r="G143" s="16"/>
      <c r="H143" s="16"/>
      <c r="I143" s="16"/>
      <c r="J143" s="16"/>
      <c r="K143" s="16"/>
      <c r="L143" s="16"/>
      <c r="M143" s="16"/>
      <c r="N143" s="16"/>
    </row>
    <row r="144" spans="1:14" x14ac:dyDescent="0.3">
      <c r="A144" s="16"/>
      <c r="B144" s="3"/>
      <c r="C144" s="3"/>
      <c r="D144" s="3"/>
      <c r="E144" s="3"/>
      <c r="F144" s="3"/>
      <c r="G144" s="3"/>
      <c r="H144" s="3"/>
      <c r="I144" s="3"/>
      <c r="J144" s="3"/>
      <c r="K144" s="3"/>
      <c r="L144" s="3"/>
      <c r="M144" s="3"/>
      <c r="N144" s="16"/>
    </row>
    <row r="145" spans="1:14" x14ac:dyDescent="0.3">
      <c r="A145" s="16"/>
      <c r="B145" s="3"/>
      <c r="C145" s="4" t="s">
        <v>33</v>
      </c>
      <c r="D145" s="3"/>
      <c r="E145" s="3"/>
      <c r="F145" s="3"/>
      <c r="G145" s="3"/>
      <c r="H145" s="3"/>
      <c r="I145" s="3"/>
      <c r="J145" s="3"/>
      <c r="K145" s="3"/>
      <c r="L145" s="3"/>
      <c r="M145" s="3"/>
      <c r="N145" s="16"/>
    </row>
    <row r="146" spans="1:14" ht="66" customHeight="1" x14ac:dyDescent="0.3">
      <c r="A146" s="16"/>
      <c r="B146" s="3"/>
      <c r="C146" s="387" t="s">
        <v>321</v>
      </c>
      <c r="D146" s="387"/>
      <c r="E146" s="387"/>
      <c r="F146" s="387"/>
      <c r="G146" s="387"/>
      <c r="H146" s="387"/>
      <c r="I146" s="387"/>
      <c r="J146" s="387"/>
      <c r="K146" s="387"/>
      <c r="L146" s="387"/>
      <c r="M146" s="52"/>
      <c r="N146" s="16"/>
    </row>
    <row r="147" spans="1:14" x14ac:dyDescent="0.3">
      <c r="A147" s="16"/>
      <c r="B147" s="3"/>
      <c r="C147" s="4"/>
      <c r="D147" s="4"/>
      <c r="E147" s="24"/>
      <c r="F147" s="492"/>
      <c r="G147" s="492"/>
      <c r="H147" s="492"/>
      <c r="I147" s="492"/>
      <c r="J147" s="14"/>
      <c r="K147" s="14"/>
      <c r="L147" s="15"/>
      <c r="M147" s="15"/>
      <c r="N147" s="16"/>
    </row>
    <row r="148" spans="1:14" ht="12.75" customHeight="1" x14ac:dyDescent="0.3">
      <c r="A148" s="16"/>
      <c r="B148" s="3"/>
      <c r="C148" s="493" t="s">
        <v>34</v>
      </c>
      <c r="D148" s="495"/>
      <c r="E148" s="454" t="s">
        <v>81</v>
      </c>
      <c r="F148" s="493" t="s">
        <v>117</v>
      </c>
      <c r="G148" s="494"/>
      <c r="H148" s="494"/>
      <c r="I148" s="495"/>
      <c r="J148" s="30"/>
      <c r="K148" s="30"/>
      <c r="L148" s="30"/>
      <c r="M148" s="54"/>
      <c r="N148" s="16"/>
    </row>
    <row r="149" spans="1:14" x14ac:dyDescent="0.3">
      <c r="A149" s="16"/>
      <c r="B149" s="3"/>
      <c r="C149" s="496"/>
      <c r="D149" s="498"/>
      <c r="E149" s="456"/>
      <c r="F149" s="496"/>
      <c r="G149" s="497"/>
      <c r="H149" s="497"/>
      <c r="I149" s="498"/>
      <c r="J149" s="14"/>
      <c r="K149" s="14"/>
      <c r="L149" s="14"/>
      <c r="M149" s="14"/>
      <c r="N149" s="16"/>
    </row>
    <row r="150" spans="1:14" x14ac:dyDescent="0.3">
      <c r="A150" s="20"/>
      <c r="B150" s="21"/>
      <c r="C150" s="81" t="s">
        <v>72</v>
      </c>
      <c r="D150" s="78" t="s">
        <v>70</v>
      </c>
      <c r="E150" s="100">
        <v>18</v>
      </c>
      <c r="F150" s="499" t="s">
        <v>271</v>
      </c>
      <c r="G150" s="500"/>
      <c r="H150" s="500"/>
      <c r="I150" s="501"/>
      <c r="J150" s="23"/>
      <c r="K150" s="23"/>
      <c r="L150" s="23"/>
      <c r="M150" s="23"/>
      <c r="N150" s="20"/>
    </row>
    <row r="151" spans="1:14" x14ac:dyDescent="0.3">
      <c r="A151" s="20"/>
      <c r="B151" s="21"/>
      <c r="C151" s="79"/>
      <c r="D151" s="80" t="s">
        <v>71</v>
      </c>
      <c r="E151" s="101">
        <v>136</v>
      </c>
      <c r="F151" s="502" t="s">
        <v>272</v>
      </c>
      <c r="G151" s="503"/>
      <c r="H151" s="503"/>
      <c r="I151" s="504"/>
      <c r="J151" s="23"/>
      <c r="K151" s="23"/>
      <c r="L151" s="23"/>
      <c r="M151" s="23"/>
      <c r="N151" s="20"/>
    </row>
    <row r="152" spans="1:14" x14ac:dyDescent="0.3">
      <c r="A152" s="20"/>
      <c r="B152" s="21"/>
      <c r="C152" s="48" t="s">
        <v>35</v>
      </c>
      <c r="D152" s="76"/>
      <c r="E152" s="99">
        <v>102</v>
      </c>
      <c r="F152" s="466" t="s">
        <v>273</v>
      </c>
      <c r="G152" s="467"/>
      <c r="H152" s="467"/>
      <c r="I152" s="468"/>
      <c r="J152" s="23"/>
      <c r="K152" s="23"/>
      <c r="L152" s="23"/>
      <c r="M152" s="23"/>
      <c r="N152" s="20"/>
    </row>
    <row r="153" spans="1:14" x14ac:dyDescent="0.3">
      <c r="A153" s="20"/>
      <c r="B153" s="21"/>
      <c r="C153" s="77" t="s">
        <v>36</v>
      </c>
      <c r="D153" s="78" t="s">
        <v>70</v>
      </c>
      <c r="E153" s="110">
        <f>E150/2.18</f>
        <v>8.2568807339449535</v>
      </c>
      <c r="F153" s="505" t="s">
        <v>274</v>
      </c>
      <c r="G153" s="506"/>
      <c r="H153" s="506"/>
      <c r="I153" s="507"/>
      <c r="J153" s="23"/>
      <c r="K153" s="23"/>
      <c r="L153" s="23"/>
      <c r="M153" s="23"/>
      <c r="N153" s="20"/>
    </row>
    <row r="154" spans="1:14" x14ac:dyDescent="0.3">
      <c r="A154" s="20"/>
      <c r="B154" s="21"/>
      <c r="C154" s="79"/>
      <c r="D154" s="80" t="s">
        <v>71</v>
      </c>
      <c r="E154" s="102">
        <f>E151/2.18</f>
        <v>62.385321100917423</v>
      </c>
      <c r="F154" s="463" t="s">
        <v>274</v>
      </c>
      <c r="G154" s="464"/>
      <c r="H154" s="464"/>
      <c r="I154" s="465"/>
      <c r="J154" s="23"/>
      <c r="K154" s="23"/>
      <c r="L154" s="23"/>
      <c r="M154" s="23"/>
      <c r="N154" s="20"/>
    </row>
    <row r="155" spans="1:14" x14ac:dyDescent="0.3">
      <c r="A155" s="20"/>
      <c r="B155" s="21"/>
      <c r="C155" s="81" t="s">
        <v>37</v>
      </c>
      <c r="D155" s="78" t="s">
        <v>70</v>
      </c>
      <c r="E155" s="110">
        <f>E150/2.45</f>
        <v>7.3469387755102034</v>
      </c>
      <c r="F155" s="505" t="s">
        <v>275</v>
      </c>
      <c r="G155" s="506"/>
      <c r="H155" s="506"/>
      <c r="I155" s="507"/>
      <c r="J155" s="305"/>
      <c r="K155" s="23"/>
      <c r="L155" s="23"/>
      <c r="M155" s="23"/>
      <c r="N155" s="20"/>
    </row>
    <row r="156" spans="1:14" x14ac:dyDescent="0.3">
      <c r="A156" s="20"/>
      <c r="B156" s="21"/>
      <c r="C156" s="82"/>
      <c r="D156" s="80" t="s">
        <v>71</v>
      </c>
      <c r="E156" s="102">
        <f>E151/2.45</f>
        <v>55.510204081632651</v>
      </c>
      <c r="F156" s="463" t="s">
        <v>275</v>
      </c>
      <c r="G156" s="464"/>
      <c r="H156" s="464"/>
      <c r="I156" s="465"/>
      <c r="J156" s="23"/>
      <c r="K156" s="23"/>
      <c r="L156" s="23"/>
      <c r="M156" s="23"/>
      <c r="N156" s="20"/>
    </row>
    <row r="157" spans="1:14" x14ac:dyDescent="0.3">
      <c r="A157" s="20"/>
      <c r="B157" s="21"/>
      <c r="C157" s="49" t="s">
        <v>38</v>
      </c>
      <c r="D157" s="75"/>
      <c r="E157" s="103">
        <v>89.2</v>
      </c>
      <c r="F157" s="466" t="s">
        <v>268</v>
      </c>
      <c r="G157" s="467"/>
      <c r="H157" s="467"/>
      <c r="I157" s="468"/>
      <c r="J157" s="23"/>
      <c r="K157" s="23"/>
      <c r="L157" s="23"/>
      <c r="M157" s="23"/>
      <c r="N157" s="20"/>
    </row>
    <row r="158" spans="1:14" x14ac:dyDescent="0.3">
      <c r="A158" s="20"/>
      <c r="B158" s="21"/>
      <c r="C158" s="81" t="s">
        <v>269</v>
      </c>
      <c r="D158" s="78" t="s">
        <v>70</v>
      </c>
      <c r="E158" s="110">
        <f>E150/2.4</f>
        <v>7.5</v>
      </c>
      <c r="F158" s="505" t="s">
        <v>276</v>
      </c>
      <c r="G158" s="506"/>
      <c r="H158" s="506"/>
      <c r="I158" s="507"/>
      <c r="J158" s="23"/>
      <c r="K158" s="23"/>
      <c r="L158" s="23"/>
      <c r="M158" s="23"/>
      <c r="N158" s="20"/>
    </row>
    <row r="159" spans="1:14" x14ac:dyDescent="0.3">
      <c r="A159" s="16"/>
      <c r="B159" s="3"/>
      <c r="C159" s="79"/>
      <c r="D159" s="80" t="s">
        <v>71</v>
      </c>
      <c r="E159" s="307">
        <f>E151/2.4</f>
        <v>56.666666666666671</v>
      </c>
      <c r="F159" s="463" t="s">
        <v>276</v>
      </c>
      <c r="G159" s="464"/>
      <c r="H159" s="464"/>
      <c r="I159" s="465"/>
      <c r="J159" s="25"/>
      <c r="K159" s="25"/>
      <c r="L159" s="15"/>
      <c r="M159" s="15"/>
      <c r="N159" s="16"/>
    </row>
    <row r="160" spans="1:14" x14ac:dyDescent="0.3">
      <c r="A160" s="16"/>
      <c r="B160" s="3"/>
      <c r="C160" s="81" t="s">
        <v>307</v>
      </c>
      <c r="D160" s="78" t="s">
        <v>70</v>
      </c>
      <c r="E160" s="110">
        <v>0</v>
      </c>
      <c r="F160" s="523" t="s">
        <v>322</v>
      </c>
      <c r="G160" s="524"/>
      <c r="H160" s="524"/>
      <c r="I160" s="525"/>
      <c r="J160" s="25"/>
      <c r="K160" s="25"/>
      <c r="L160" s="15"/>
      <c r="M160" s="15"/>
      <c r="N160" s="16"/>
    </row>
    <row r="161" spans="1:14" x14ac:dyDescent="0.3">
      <c r="A161" s="16"/>
      <c r="B161" s="3"/>
      <c r="C161" s="79"/>
      <c r="D161" s="80" t="s">
        <v>71</v>
      </c>
      <c r="E161" s="307">
        <v>0</v>
      </c>
      <c r="F161" s="509"/>
      <c r="G161" s="526"/>
      <c r="H161" s="526"/>
      <c r="I161" s="510"/>
      <c r="J161" s="25"/>
      <c r="K161" s="25"/>
      <c r="L161" s="15"/>
      <c r="M161" s="15"/>
      <c r="N161" s="16"/>
    </row>
    <row r="162" spans="1:14" x14ac:dyDescent="0.3">
      <c r="A162" s="16"/>
      <c r="B162" s="3"/>
      <c r="C162" s="17"/>
      <c r="D162" s="17"/>
      <c r="E162" s="3"/>
      <c r="F162" s="306"/>
      <c r="G162" s="306"/>
      <c r="H162" s="306"/>
      <c r="I162" s="306"/>
      <c r="J162" s="25"/>
      <c r="K162" s="25"/>
      <c r="L162" s="15"/>
      <c r="M162" s="15"/>
      <c r="N162" s="16"/>
    </row>
    <row r="163" spans="1:14" x14ac:dyDescent="0.3">
      <c r="A163" s="16"/>
      <c r="B163" s="3"/>
      <c r="C163" s="3"/>
      <c r="D163" s="3"/>
      <c r="E163" s="3"/>
      <c r="F163" s="3"/>
      <c r="G163" s="3"/>
      <c r="H163" s="3"/>
      <c r="I163" s="3"/>
      <c r="J163" s="3"/>
      <c r="K163" s="3"/>
      <c r="L163" s="3"/>
      <c r="M163" s="3"/>
      <c r="N163" s="16"/>
    </row>
    <row r="164" spans="1:14" x14ac:dyDescent="0.3">
      <c r="A164" s="16"/>
      <c r="B164" s="16"/>
      <c r="C164" s="16"/>
      <c r="D164" s="16"/>
      <c r="E164" s="16"/>
      <c r="F164" s="16"/>
      <c r="G164" s="16"/>
      <c r="H164" s="16"/>
      <c r="I164" s="16"/>
      <c r="J164" s="16"/>
      <c r="K164" s="16"/>
      <c r="L164" s="16"/>
      <c r="M164" s="16"/>
      <c r="N164" s="16"/>
    </row>
    <row r="165" spans="1:14" x14ac:dyDescent="0.3">
      <c r="A165" s="16"/>
      <c r="B165" s="3"/>
      <c r="C165" s="3"/>
      <c r="D165" s="3"/>
      <c r="E165" s="3"/>
      <c r="F165" s="3"/>
      <c r="G165" s="3"/>
      <c r="H165" s="3"/>
      <c r="I165" s="3"/>
      <c r="J165" s="3"/>
      <c r="K165" s="3"/>
      <c r="L165" s="3"/>
      <c r="M165" s="3"/>
      <c r="N165" s="16"/>
    </row>
    <row r="166" spans="1:14" x14ac:dyDescent="0.3">
      <c r="A166" s="16"/>
      <c r="B166" s="3"/>
      <c r="C166" s="4" t="s">
        <v>293</v>
      </c>
      <c r="D166" s="3"/>
      <c r="E166" s="3"/>
      <c r="F166" s="3"/>
      <c r="G166" s="3"/>
      <c r="H166" s="3"/>
      <c r="I166" s="3"/>
      <c r="J166" s="3"/>
      <c r="K166" s="3"/>
      <c r="L166" s="3"/>
      <c r="M166" s="3"/>
      <c r="N166" s="16"/>
    </row>
    <row r="167" spans="1:14" ht="26.25" customHeight="1" x14ac:dyDescent="0.3">
      <c r="A167" s="16"/>
      <c r="B167" s="3"/>
      <c r="C167" s="395" t="s">
        <v>315</v>
      </c>
      <c r="D167" s="395"/>
      <c r="E167" s="395"/>
      <c r="F167" s="395"/>
      <c r="G167" s="395"/>
      <c r="H167" s="395"/>
      <c r="I167" s="395"/>
      <c r="J167" s="395"/>
      <c r="K167" s="395"/>
      <c r="L167" s="395"/>
      <c r="M167" s="3"/>
      <c r="N167" s="16"/>
    </row>
    <row r="168" spans="1:14" x14ac:dyDescent="0.3">
      <c r="A168" s="16"/>
      <c r="B168" s="3"/>
      <c r="C168" s="4"/>
      <c r="D168" s="3"/>
      <c r="E168" s="3"/>
      <c r="F168" s="3"/>
      <c r="G168" s="3"/>
      <c r="H168" s="3"/>
      <c r="I168" s="3"/>
      <c r="J168" s="3"/>
      <c r="K168" s="3"/>
      <c r="L168" s="3"/>
      <c r="M168" s="3"/>
      <c r="N168" s="16"/>
    </row>
    <row r="169" spans="1:14" x14ac:dyDescent="0.3">
      <c r="A169" s="16"/>
      <c r="B169" s="3"/>
      <c r="C169" s="5" t="s">
        <v>0</v>
      </c>
      <c r="D169" s="454" t="s">
        <v>62</v>
      </c>
      <c r="E169" s="454" t="s">
        <v>80</v>
      </c>
      <c r="F169" s="454" t="s">
        <v>64</v>
      </c>
      <c r="G169" s="457" t="s">
        <v>42</v>
      </c>
      <c r="H169" s="458"/>
      <c r="I169" s="457" t="s">
        <v>43</v>
      </c>
      <c r="J169" s="458"/>
      <c r="K169" s="3"/>
      <c r="L169" s="325"/>
      <c r="M169" s="3"/>
      <c r="N169" s="69"/>
    </row>
    <row r="170" spans="1:14" ht="26" x14ac:dyDescent="0.3">
      <c r="A170" s="16"/>
      <c r="B170" s="3"/>
      <c r="C170" s="6"/>
      <c r="D170" s="455"/>
      <c r="E170" s="455"/>
      <c r="F170" s="456"/>
      <c r="G170" s="47" t="s">
        <v>82</v>
      </c>
      <c r="H170" s="47" t="s">
        <v>83</v>
      </c>
      <c r="I170" s="112" t="s">
        <v>81</v>
      </c>
      <c r="J170" s="47" t="s">
        <v>83</v>
      </c>
      <c r="K170" s="3"/>
      <c r="L170" s="325"/>
      <c r="M170" s="3"/>
      <c r="N170" s="16"/>
    </row>
    <row r="171" spans="1:14" ht="13.5" customHeight="1" x14ac:dyDescent="0.3">
      <c r="A171" s="16"/>
      <c r="B171" s="3"/>
      <c r="C171" s="7" t="s">
        <v>177</v>
      </c>
      <c r="D171" s="83">
        <f>SUM(Utbyggingsinformasjon!E29:E30)</f>
        <v>0</v>
      </c>
      <c r="E171" s="104">
        <f>D139</f>
        <v>115</v>
      </c>
      <c r="F171" s="113">
        <f>D171*E171</f>
        <v>0</v>
      </c>
      <c r="G171" s="115">
        <f>$E$150*(SUM(D224:E224))+$E$158*F224</f>
        <v>16.424999999999997</v>
      </c>
      <c r="H171" s="115">
        <f>(F171*G171)/1000000</f>
        <v>0</v>
      </c>
      <c r="I171" s="332">
        <f>$E$151*(D224+E224)+E159*F224</f>
        <v>124.1</v>
      </c>
      <c r="J171" s="115">
        <f>(F171*$I$171)/1000000</f>
        <v>0</v>
      </c>
      <c r="K171" s="3"/>
      <c r="L171" s="3"/>
      <c r="M171" s="3"/>
      <c r="N171" s="16"/>
    </row>
    <row r="172" spans="1:14" x14ac:dyDescent="0.3">
      <c r="A172" s="16"/>
      <c r="B172" s="3"/>
      <c r="C172" s="7" t="s">
        <v>178</v>
      </c>
      <c r="D172" s="182">
        <f>SUM(Utbyggingsinformasjon!E31:E32)</f>
        <v>0</v>
      </c>
      <c r="E172" s="104">
        <f>E139</f>
        <v>180</v>
      </c>
      <c r="F172" s="113">
        <f>D172*E172</f>
        <v>0</v>
      </c>
      <c r="G172" s="115">
        <f>$E$150*(SUM(D230:E230))+$E$158*F230</f>
        <v>15.9</v>
      </c>
      <c r="H172" s="115">
        <f>(F172*G172)/1000000</f>
        <v>0</v>
      </c>
      <c r="I172" s="332">
        <f>$E$151*(D230+E230)+$E$159*F230</f>
        <v>120.13333333333335</v>
      </c>
      <c r="J172" s="115">
        <f>(F172*$I$172)/1000000</f>
        <v>0</v>
      </c>
      <c r="K172" s="3"/>
      <c r="L172" s="3"/>
      <c r="M172" s="3"/>
      <c r="N172" s="16"/>
    </row>
    <row r="173" spans="1:14" x14ac:dyDescent="0.3">
      <c r="A173" s="16"/>
      <c r="B173" s="3"/>
      <c r="C173" s="7" t="s">
        <v>326</v>
      </c>
      <c r="D173" s="182">
        <f>SUM(Utbyggingsinformasjon!E33:E34)</f>
        <v>0</v>
      </c>
      <c r="E173" s="104">
        <f>F139</f>
        <v>140</v>
      </c>
      <c r="F173" s="113">
        <f>D173*E173</f>
        <v>0</v>
      </c>
      <c r="G173" s="115">
        <f>$E$150*(SUM(D236:E236))+$E$158*F236</f>
        <v>16.95</v>
      </c>
      <c r="H173" s="115">
        <f>(F173*G173)/1000000</f>
        <v>0</v>
      </c>
      <c r="I173" s="115">
        <f>$E$151*(D236+E236)+$E$159*F236</f>
        <v>128.06666666666666</v>
      </c>
      <c r="J173" s="115">
        <f>(F173*$I$173)/1000000</f>
        <v>0</v>
      </c>
      <c r="K173" s="3"/>
      <c r="L173" s="3"/>
      <c r="M173" s="3"/>
      <c r="N173" s="16"/>
    </row>
    <row r="174" spans="1:14" x14ac:dyDescent="0.3">
      <c r="A174" s="16"/>
      <c r="B174" s="3"/>
      <c r="C174" s="3"/>
      <c r="D174" s="91"/>
      <c r="E174" s="91"/>
      <c r="F174" s="91"/>
      <c r="G174" s="230" t="s">
        <v>95</v>
      </c>
      <c r="H174" s="161">
        <f>SUM(H171:H173)</f>
        <v>0</v>
      </c>
      <c r="I174" s="230" t="s">
        <v>95</v>
      </c>
      <c r="J174" s="161">
        <f>SUM(J171:J173)</f>
        <v>0</v>
      </c>
      <c r="K174" s="3"/>
      <c r="L174" s="3"/>
      <c r="M174" s="3"/>
      <c r="N174" s="16"/>
    </row>
    <row r="175" spans="1:14" x14ac:dyDescent="0.3">
      <c r="A175" s="16"/>
      <c r="B175" s="3"/>
      <c r="C175" s="3"/>
      <c r="D175" s="3"/>
      <c r="E175" s="3"/>
      <c r="F175" s="3"/>
      <c r="G175" s="230" t="s">
        <v>150</v>
      </c>
      <c r="H175" s="161">
        <f>H174*60</f>
        <v>0</v>
      </c>
      <c r="I175" s="230" t="s">
        <v>150</v>
      </c>
      <c r="J175" s="161">
        <f>J174*60</f>
        <v>0</v>
      </c>
      <c r="K175" s="3"/>
      <c r="L175" s="3"/>
      <c r="M175" s="3"/>
      <c r="N175" s="16"/>
    </row>
    <row r="176" spans="1:14" x14ac:dyDescent="0.3">
      <c r="A176" s="16"/>
      <c r="B176" s="3"/>
      <c r="C176" s="3"/>
      <c r="D176" s="3"/>
      <c r="E176" s="3"/>
      <c r="F176" s="3"/>
      <c r="G176" s="3"/>
      <c r="H176" s="3"/>
      <c r="I176" s="3"/>
      <c r="J176" s="3"/>
      <c r="K176" s="3"/>
      <c r="L176" s="3"/>
      <c r="M176" s="3"/>
      <c r="N176" s="16"/>
    </row>
    <row r="177" spans="1:14" x14ac:dyDescent="0.3">
      <c r="A177" s="16"/>
      <c r="B177" s="16"/>
      <c r="C177" s="16"/>
      <c r="D177" s="16"/>
      <c r="E177" s="16"/>
      <c r="F177" s="16"/>
      <c r="G177" s="16"/>
      <c r="H177" s="16"/>
      <c r="I177" s="16"/>
      <c r="J177" s="16"/>
      <c r="K177" s="16"/>
      <c r="L177" s="16"/>
      <c r="M177" s="16"/>
      <c r="N177" s="16"/>
    </row>
    <row r="178" spans="1:14" x14ac:dyDescent="0.3">
      <c r="A178" s="16"/>
      <c r="B178" s="3"/>
      <c r="C178" s="3"/>
      <c r="D178" s="3"/>
      <c r="E178" s="3"/>
      <c r="F178" s="3"/>
      <c r="G178" s="3"/>
      <c r="H178" s="3"/>
      <c r="I178" s="3"/>
      <c r="J178" s="3"/>
      <c r="K178" s="3"/>
      <c r="L178" s="3"/>
      <c r="M178" s="3"/>
      <c r="N178" s="16"/>
    </row>
    <row r="179" spans="1:14" x14ac:dyDescent="0.3">
      <c r="A179" s="16"/>
      <c r="B179" s="3"/>
      <c r="C179" s="4" t="s">
        <v>250</v>
      </c>
      <c r="D179" s="3"/>
      <c r="E179" s="3"/>
      <c r="F179" s="3"/>
      <c r="G179" s="3"/>
      <c r="H179" s="3"/>
      <c r="I179" s="3"/>
      <c r="J179" s="3"/>
      <c r="K179" s="3"/>
      <c r="L179" s="3"/>
      <c r="M179" s="3"/>
      <c r="N179" s="16"/>
    </row>
    <row r="180" spans="1:14" ht="25.5" customHeight="1" x14ac:dyDescent="0.3">
      <c r="A180" s="16"/>
      <c r="B180" s="3"/>
      <c r="C180" s="387" t="s">
        <v>277</v>
      </c>
      <c r="D180" s="387"/>
      <c r="E180" s="387"/>
      <c r="F180" s="387"/>
      <c r="G180" s="387"/>
      <c r="H180" s="387"/>
      <c r="I180" s="387"/>
      <c r="J180" s="387"/>
      <c r="K180" s="387"/>
      <c r="L180" s="387"/>
      <c r="M180" s="52"/>
      <c r="N180" s="16"/>
    </row>
    <row r="181" spans="1:14" x14ac:dyDescent="0.3">
      <c r="A181" s="16"/>
      <c r="B181" s="3"/>
      <c r="C181" s="4"/>
      <c r="D181" s="3"/>
      <c r="E181" s="3"/>
      <c r="F181" s="3"/>
      <c r="G181" s="3"/>
      <c r="H181" s="3"/>
      <c r="I181" s="3"/>
      <c r="J181" s="3"/>
      <c r="K181" s="3"/>
      <c r="L181" s="3"/>
      <c r="M181" s="3"/>
      <c r="N181" s="16"/>
    </row>
    <row r="182" spans="1:14" x14ac:dyDescent="0.3">
      <c r="A182" s="16"/>
      <c r="B182" s="3"/>
      <c r="C182" s="442" t="s">
        <v>166</v>
      </c>
      <c r="D182" s="459" t="s">
        <v>39</v>
      </c>
      <c r="E182" s="461"/>
      <c r="F182" s="461" t="s">
        <v>79</v>
      </c>
      <c r="G182" s="470"/>
      <c r="H182" s="3"/>
      <c r="I182" s="3"/>
      <c r="J182" s="3"/>
      <c r="K182" s="3"/>
      <c r="L182" s="3"/>
      <c r="M182" s="3"/>
      <c r="N182" s="16"/>
    </row>
    <row r="183" spans="1:14" x14ac:dyDescent="0.3">
      <c r="A183" s="16"/>
      <c r="B183" s="3"/>
      <c r="C183" s="462"/>
      <c r="D183" s="321" t="s">
        <v>294</v>
      </c>
      <c r="E183" s="45" t="s">
        <v>40</v>
      </c>
      <c r="F183" s="45" t="s">
        <v>42</v>
      </c>
      <c r="G183" s="84" t="s">
        <v>43</v>
      </c>
      <c r="H183" s="3"/>
      <c r="I183" s="3"/>
      <c r="J183" s="3"/>
      <c r="K183" s="3"/>
      <c r="L183" s="3"/>
      <c r="M183" s="3"/>
      <c r="N183" s="16"/>
    </row>
    <row r="184" spans="1:14" x14ac:dyDescent="0.3">
      <c r="A184" s="16"/>
      <c r="B184" s="3"/>
      <c r="C184" s="11" t="s">
        <v>208</v>
      </c>
      <c r="D184" s="266">
        <v>1</v>
      </c>
      <c r="E184" s="51">
        <v>0</v>
      </c>
      <c r="F184" s="46">
        <f>($E$150*$D184)+($E$152*$E184)</f>
        <v>18</v>
      </c>
      <c r="G184" s="46">
        <f>($E$151*$D184)+($E$152*$E184)</f>
        <v>136</v>
      </c>
      <c r="H184" s="3"/>
      <c r="I184" s="3"/>
      <c r="J184" s="3"/>
      <c r="K184" s="3"/>
      <c r="L184" s="3"/>
      <c r="M184" s="3"/>
      <c r="N184" s="16"/>
    </row>
    <row r="185" spans="1:14" x14ac:dyDescent="0.3">
      <c r="A185" s="16"/>
      <c r="B185" s="3"/>
      <c r="C185" s="11" t="s">
        <v>329</v>
      </c>
      <c r="D185" s="267">
        <v>0.9</v>
      </c>
      <c r="E185" s="272">
        <v>0.1</v>
      </c>
      <c r="F185" s="46">
        <f>($E$150*$D185)+($E$152*$E185)</f>
        <v>26.4</v>
      </c>
      <c r="G185" s="46">
        <f>($E$151*$D185)+($E$152*$E185)</f>
        <v>132.6</v>
      </c>
      <c r="H185" s="3"/>
      <c r="I185" s="3"/>
      <c r="J185" s="3"/>
      <c r="K185" s="3"/>
      <c r="L185" s="3"/>
      <c r="M185" s="3"/>
      <c r="N185" s="16"/>
    </row>
    <row r="186" spans="1:14" ht="13.5" thickBot="1" x14ac:dyDescent="0.35">
      <c r="A186" s="16"/>
      <c r="B186" s="3"/>
      <c r="C186" s="15"/>
      <c r="D186" s="34"/>
      <c r="E186" s="34"/>
      <c r="F186" s="23"/>
      <c r="G186" s="111"/>
      <c r="H186" s="3"/>
      <c r="I186" s="3"/>
      <c r="J186" s="3"/>
      <c r="K186" s="3"/>
      <c r="L186" s="3"/>
      <c r="M186" s="3"/>
      <c r="N186" s="16"/>
    </row>
    <row r="187" spans="1:14" ht="21" customHeight="1" thickBot="1" x14ac:dyDescent="0.35">
      <c r="A187" s="16"/>
      <c r="B187" s="3"/>
      <c r="C187" s="3"/>
      <c r="D187" s="312" t="s">
        <v>311</v>
      </c>
      <c r="E187" s="320" t="str">
        <f>Utbyggingsinformasjon!M86</f>
        <v>Strøm</v>
      </c>
      <c r="F187" s="260">
        <f>VLOOKUP(E187,C184:G185,4,FALSE)</f>
        <v>18</v>
      </c>
      <c r="G187" s="261">
        <f>VLOOKUP(E187,C184:G185,5,FALSE)</f>
        <v>136</v>
      </c>
      <c r="H187" s="3"/>
      <c r="I187" s="3"/>
      <c r="J187" s="3"/>
      <c r="K187" s="3"/>
      <c r="L187" s="3"/>
      <c r="M187" s="3"/>
      <c r="N187" s="16"/>
    </row>
    <row r="188" spans="1:14" x14ac:dyDescent="0.3">
      <c r="A188" s="16"/>
      <c r="B188" s="3"/>
      <c r="C188" s="3"/>
      <c r="D188" s="3"/>
      <c r="E188" s="25"/>
      <c r="F188" s="25"/>
      <c r="G188" s="25"/>
      <c r="H188" s="3"/>
      <c r="I188" s="3"/>
      <c r="J188" s="3"/>
      <c r="K188" s="3"/>
      <c r="L188" s="3"/>
      <c r="M188" s="3"/>
      <c r="N188" s="16"/>
    </row>
    <row r="189" spans="1:14" x14ac:dyDescent="0.3">
      <c r="A189" s="16"/>
      <c r="B189" s="3"/>
      <c r="C189" s="3"/>
      <c r="D189" s="3"/>
      <c r="E189" s="3"/>
      <c r="F189" s="3"/>
      <c r="G189" s="3"/>
      <c r="H189" s="3"/>
      <c r="I189" s="3"/>
      <c r="J189" s="3"/>
      <c r="K189" s="3"/>
      <c r="L189" s="3"/>
      <c r="M189" s="3"/>
      <c r="N189" s="16"/>
    </row>
    <row r="190" spans="1:14" x14ac:dyDescent="0.3">
      <c r="A190" s="16"/>
      <c r="B190" s="16"/>
      <c r="C190" s="16"/>
      <c r="D190" s="16"/>
      <c r="E190" s="16"/>
      <c r="F190" s="16"/>
      <c r="G190" s="16"/>
      <c r="H190" s="16"/>
      <c r="I190" s="16"/>
      <c r="J190" s="16"/>
      <c r="K190" s="16"/>
      <c r="L190" s="16"/>
      <c r="M190" s="16"/>
      <c r="N190" s="16"/>
    </row>
    <row r="191" spans="1:14" x14ac:dyDescent="0.3">
      <c r="A191" s="16"/>
      <c r="B191" s="3"/>
      <c r="C191" s="3"/>
      <c r="D191" s="3"/>
      <c r="E191" s="3"/>
      <c r="F191" s="3"/>
      <c r="G191" s="3"/>
      <c r="H191" s="3"/>
      <c r="I191" s="3"/>
      <c r="J191" s="3"/>
      <c r="K191" s="3"/>
      <c r="L191" s="3"/>
      <c r="M191" s="3"/>
      <c r="N191" s="16"/>
    </row>
    <row r="192" spans="1:14" x14ac:dyDescent="0.3">
      <c r="A192" s="16"/>
      <c r="B192" s="3"/>
      <c r="C192" s="4" t="s">
        <v>251</v>
      </c>
      <c r="D192" s="3"/>
      <c r="E192" s="3"/>
      <c r="F192" s="3"/>
      <c r="G192" s="3"/>
      <c r="H192" s="3"/>
      <c r="I192" s="3"/>
      <c r="J192" s="3"/>
      <c r="K192" s="3"/>
      <c r="L192" s="3"/>
      <c r="M192" s="3"/>
      <c r="N192" s="16"/>
    </row>
    <row r="193" spans="1:15" ht="27.75" customHeight="1" x14ac:dyDescent="0.3">
      <c r="A193" s="16"/>
      <c r="B193" s="3"/>
      <c r="C193" s="387" t="s">
        <v>278</v>
      </c>
      <c r="D193" s="387"/>
      <c r="E193" s="387"/>
      <c r="F193" s="387"/>
      <c r="G193" s="387"/>
      <c r="H193" s="387"/>
      <c r="I193" s="387"/>
      <c r="J193" s="387"/>
      <c r="K193" s="387"/>
      <c r="L193" s="387"/>
      <c r="M193" s="52"/>
      <c r="N193" s="16"/>
    </row>
    <row r="194" spans="1:15" x14ac:dyDescent="0.3">
      <c r="A194" s="16"/>
      <c r="B194" s="3"/>
      <c r="C194" s="4"/>
      <c r="D194" s="3"/>
      <c r="E194" s="3"/>
      <c r="F194" s="3"/>
      <c r="G194" s="3"/>
      <c r="H194" s="3"/>
      <c r="I194" s="3"/>
      <c r="J194" s="3"/>
      <c r="K194" s="3"/>
      <c r="L194" s="3"/>
      <c r="M194" s="3"/>
      <c r="N194" s="16"/>
    </row>
    <row r="195" spans="1:15" x14ac:dyDescent="0.3">
      <c r="A195" s="16"/>
      <c r="B195" s="3"/>
      <c r="C195" s="462" t="s">
        <v>166</v>
      </c>
      <c r="D195" s="459" t="s">
        <v>39</v>
      </c>
      <c r="E195" s="460"/>
      <c r="F195" s="460"/>
      <c r="G195" s="461"/>
      <c r="H195" s="470" t="s">
        <v>79</v>
      </c>
      <c r="I195" s="470"/>
      <c r="J195" s="3"/>
      <c r="K195" s="3"/>
      <c r="L195" s="3"/>
      <c r="M195" s="3"/>
      <c r="N195" s="16"/>
    </row>
    <row r="196" spans="1:15" x14ac:dyDescent="0.3">
      <c r="A196" s="16"/>
      <c r="B196" s="3"/>
      <c r="C196" s="442"/>
      <c r="D196" s="50" t="s">
        <v>294</v>
      </c>
      <c r="E196" s="280" t="s">
        <v>41</v>
      </c>
      <c r="F196" s="280" t="s">
        <v>222</v>
      </c>
      <c r="G196" s="177" t="s">
        <v>38</v>
      </c>
      <c r="H196" s="45" t="s">
        <v>42</v>
      </c>
      <c r="I196" s="85" t="s">
        <v>43</v>
      </c>
      <c r="J196" s="3"/>
      <c r="K196" s="3"/>
      <c r="L196" s="3"/>
      <c r="M196" s="3"/>
      <c r="N196" s="16"/>
    </row>
    <row r="197" spans="1:15" x14ac:dyDescent="0.3">
      <c r="A197" s="16"/>
      <c r="B197" s="3"/>
      <c r="C197" s="11" t="s">
        <v>210</v>
      </c>
      <c r="D197" s="269">
        <v>1</v>
      </c>
      <c r="E197" s="274"/>
      <c r="F197" s="274"/>
      <c r="G197" s="265"/>
      <c r="H197" s="46">
        <f>($E$150*$D197)+($E197*$E$153)+($F197*$E$155)+($G197*$E$157)</f>
        <v>18</v>
      </c>
      <c r="I197" s="46">
        <f>($E$151*$D197)+($E197*$E$154)+($F197*$E$156)+($G197*$E$157)</f>
        <v>136</v>
      </c>
      <c r="J197" s="3"/>
      <c r="K197" s="3"/>
      <c r="L197" s="3"/>
      <c r="M197" s="3"/>
      <c r="N197" s="16"/>
    </row>
    <row r="198" spans="1:15" x14ac:dyDescent="0.3">
      <c r="A198" s="16"/>
      <c r="B198" s="3"/>
      <c r="C198" s="11" t="s">
        <v>223</v>
      </c>
      <c r="D198" s="270">
        <v>0.4</v>
      </c>
      <c r="E198" s="275">
        <v>0.6</v>
      </c>
      <c r="F198" s="275"/>
      <c r="G198" s="272"/>
      <c r="H198" s="46">
        <f t="shared" ref="H198:H200" si="9">($E$150*$D198)+($E198*$E$153)+($F198*$E$155)+($G198*$E$157)</f>
        <v>12.154128440366971</v>
      </c>
      <c r="I198" s="46">
        <f t="shared" ref="I198:I200" si="10">($E$151*$D198)+($E198*$E$154)+($F198*$E$156)+($G198*$E$157)</f>
        <v>91.831192660550457</v>
      </c>
      <c r="J198" s="3"/>
      <c r="K198" s="3"/>
      <c r="L198" s="3"/>
      <c r="M198" s="3"/>
      <c r="N198" s="16"/>
    </row>
    <row r="199" spans="1:15" x14ac:dyDescent="0.3">
      <c r="A199" s="16"/>
      <c r="B199" s="3"/>
      <c r="C199" s="11" t="s">
        <v>224</v>
      </c>
      <c r="D199" s="270">
        <v>0.15</v>
      </c>
      <c r="E199" s="275"/>
      <c r="F199" s="275">
        <v>0.85</v>
      </c>
      <c r="G199" s="272"/>
      <c r="H199" s="46">
        <f t="shared" si="9"/>
        <v>8.9448979591836721</v>
      </c>
      <c r="I199" s="46">
        <f t="shared" si="10"/>
        <v>67.583673469387747</v>
      </c>
      <c r="J199" s="3"/>
      <c r="K199" s="3"/>
      <c r="L199" s="3"/>
      <c r="M199" s="3"/>
      <c r="N199" s="16"/>
    </row>
    <row r="200" spans="1:15" x14ac:dyDescent="0.3">
      <c r="A200" s="16"/>
      <c r="B200" s="3"/>
      <c r="C200" s="11" t="s">
        <v>38</v>
      </c>
      <c r="D200" s="270"/>
      <c r="E200" s="275"/>
      <c r="F200" s="275"/>
      <c r="G200" s="272">
        <v>1</v>
      </c>
      <c r="H200" s="46">
        <f t="shared" si="9"/>
        <v>89.2</v>
      </c>
      <c r="I200" s="46">
        <f t="shared" si="10"/>
        <v>89.2</v>
      </c>
      <c r="J200" s="3"/>
      <c r="K200" s="3"/>
      <c r="L200" s="3"/>
      <c r="M200" s="3"/>
      <c r="N200" s="16"/>
      <c r="O200" s="2"/>
    </row>
    <row r="201" spans="1:15" ht="13.5" thickBot="1" x14ac:dyDescent="0.35">
      <c r="A201" s="16"/>
      <c r="B201" s="3"/>
      <c r="C201" s="15"/>
      <c r="D201" s="34"/>
      <c r="E201" s="34"/>
      <c r="F201" s="23"/>
      <c r="G201" s="114"/>
      <c r="H201" s="3"/>
      <c r="I201" s="3"/>
      <c r="J201" s="3"/>
      <c r="K201" s="3"/>
      <c r="L201" s="3"/>
      <c r="M201" s="3"/>
      <c r="N201" s="16"/>
    </row>
    <row r="202" spans="1:15" ht="24" customHeight="1" thickBot="1" x14ac:dyDescent="0.35">
      <c r="A202" s="16"/>
      <c r="B202" s="3"/>
      <c r="C202" s="3"/>
      <c r="D202" s="3"/>
      <c r="E202" s="312" t="s">
        <v>311</v>
      </c>
      <c r="F202" s="439" t="str">
        <f>Utbyggingsinformasjon!M88</f>
        <v>Strøm (panelovn/elkjel)</v>
      </c>
      <c r="G202" s="440"/>
      <c r="H202" s="260">
        <f>VLOOKUP(F202,C197:I200,6,FALSE)</f>
        <v>18</v>
      </c>
      <c r="I202" s="261">
        <f>VLOOKUP(F202,C197:I200,7,FALSE)</f>
        <v>136</v>
      </c>
      <c r="J202" s="3"/>
      <c r="K202" s="3"/>
      <c r="L202" s="3"/>
      <c r="M202" s="3"/>
      <c r="N202" s="16"/>
    </row>
    <row r="203" spans="1:15" x14ac:dyDescent="0.3">
      <c r="A203" s="16"/>
      <c r="B203" s="3"/>
      <c r="C203" s="3"/>
      <c r="D203" s="3"/>
      <c r="E203" s="3"/>
      <c r="F203" s="3"/>
      <c r="G203" s="3"/>
      <c r="H203" s="3"/>
      <c r="I203" s="15"/>
      <c r="J203" s="25"/>
      <c r="K203" s="3"/>
      <c r="L203" s="3"/>
      <c r="M203" s="3"/>
      <c r="N203" s="16"/>
    </row>
    <row r="204" spans="1:15" x14ac:dyDescent="0.3">
      <c r="A204" s="16"/>
      <c r="B204" s="16"/>
      <c r="C204" s="16"/>
      <c r="D204" s="16"/>
      <c r="E204" s="16"/>
      <c r="F204" s="16"/>
      <c r="G204" s="16"/>
      <c r="H204" s="16"/>
      <c r="I204" s="16"/>
      <c r="J204" s="16"/>
      <c r="K204" s="16"/>
      <c r="L204" s="16"/>
      <c r="M204" s="16"/>
      <c r="N204" s="16"/>
    </row>
    <row r="205" spans="1:15" x14ac:dyDescent="0.3">
      <c r="A205" s="16"/>
      <c r="B205" s="3"/>
      <c r="C205" s="3"/>
      <c r="D205" s="3"/>
      <c r="E205" s="3"/>
      <c r="F205" s="3"/>
      <c r="G205" s="3"/>
      <c r="H205" s="3"/>
      <c r="I205" s="15"/>
      <c r="J205" s="25"/>
      <c r="K205" s="3"/>
      <c r="L205" s="3"/>
      <c r="M205" s="3"/>
      <c r="N205" s="16"/>
    </row>
    <row r="206" spans="1:15" ht="12.75" customHeight="1" x14ac:dyDescent="0.3">
      <c r="A206" s="16"/>
      <c r="B206" s="3"/>
      <c r="C206" s="313" t="s">
        <v>247</v>
      </c>
      <c r="D206" s="3"/>
      <c r="E206" s="3"/>
      <c r="F206" s="3"/>
      <c r="G206" s="3"/>
      <c r="H206" s="3"/>
      <c r="I206" s="3"/>
      <c r="J206" s="3"/>
      <c r="K206" s="3"/>
      <c r="L206" s="3"/>
      <c r="M206" s="3"/>
      <c r="N206" s="16"/>
    </row>
    <row r="207" spans="1:15" ht="27" customHeight="1" x14ac:dyDescent="0.3">
      <c r="A207" s="16"/>
      <c r="B207" s="3"/>
      <c r="C207" s="395" t="s">
        <v>279</v>
      </c>
      <c r="D207" s="395"/>
      <c r="E207" s="395"/>
      <c r="F207" s="395"/>
      <c r="G207" s="395"/>
      <c r="H207" s="395"/>
      <c r="I207" s="395"/>
      <c r="J207" s="395"/>
      <c r="K207" s="395"/>
      <c r="L207" s="395"/>
      <c r="M207" s="3"/>
      <c r="N207" s="16"/>
    </row>
    <row r="208" spans="1:15" x14ac:dyDescent="0.3">
      <c r="A208" s="16"/>
      <c r="B208" s="3"/>
      <c r="C208" s="4"/>
      <c r="D208" s="3"/>
      <c r="E208" s="3"/>
      <c r="F208" s="3"/>
      <c r="G208" s="3"/>
      <c r="H208" s="3"/>
      <c r="I208" s="3"/>
      <c r="J208" s="3"/>
      <c r="K208" s="3"/>
      <c r="L208" s="3"/>
      <c r="M208" s="3"/>
      <c r="N208" s="16"/>
    </row>
    <row r="209" spans="1:14" x14ac:dyDescent="0.3">
      <c r="A209" s="16"/>
      <c r="B209" s="3"/>
      <c r="C209" s="462" t="s">
        <v>166</v>
      </c>
      <c r="D209" s="454" t="s">
        <v>39</v>
      </c>
      <c r="E209" s="460" t="s">
        <v>79</v>
      </c>
      <c r="F209" s="461"/>
      <c r="G209" s="3"/>
      <c r="H209" s="3"/>
      <c r="I209" s="3"/>
      <c r="J209" s="3"/>
      <c r="K209" s="3"/>
      <c r="L209" s="3"/>
      <c r="M209" s="3"/>
      <c r="N209" s="16"/>
    </row>
    <row r="210" spans="1:14" x14ac:dyDescent="0.3">
      <c r="A210" s="16"/>
      <c r="B210" s="3"/>
      <c r="C210" s="442"/>
      <c r="D210" s="456"/>
      <c r="E210" s="150" t="s">
        <v>42</v>
      </c>
      <c r="F210" s="310" t="s">
        <v>43</v>
      </c>
      <c r="G210" s="3"/>
      <c r="H210" s="3"/>
      <c r="I210" s="3"/>
      <c r="J210" s="3"/>
      <c r="K210" s="3"/>
      <c r="L210" s="3"/>
      <c r="M210" s="3"/>
      <c r="N210" s="16"/>
    </row>
    <row r="211" spans="1:14" x14ac:dyDescent="0.3">
      <c r="A211" s="16"/>
      <c r="B211" s="3"/>
      <c r="C211" s="11" t="s">
        <v>269</v>
      </c>
      <c r="D211" s="74">
        <v>1</v>
      </c>
      <c r="E211" s="326">
        <f>($E$158*$D211)</f>
        <v>7.5</v>
      </c>
      <c r="F211" s="46">
        <f>($E$159*$D211)</f>
        <v>56.666666666666671</v>
      </c>
      <c r="G211" s="3"/>
      <c r="H211" s="3"/>
      <c r="I211" s="3"/>
      <c r="J211" s="3"/>
      <c r="K211" s="3"/>
      <c r="L211" s="3"/>
      <c r="M211" s="3"/>
      <c r="N211" s="16"/>
    </row>
    <row r="212" spans="1:14" x14ac:dyDescent="0.3">
      <c r="A212" s="16"/>
      <c r="B212" s="3"/>
      <c r="C212" s="11" t="s">
        <v>307</v>
      </c>
      <c r="D212" s="259">
        <v>1</v>
      </c>
      <c r="E212" s="326">
        <f>($E$150*E160)</f>
        <v>0</v>
      </c>
      <c r="F212" s="46">
        <f>($E$161*$D212)</f>
        <v>0</v>
      </c>
      <c r="G212" s="316"/>
      <c r="H212" s="3"/>
      <c r="I212" s="3"/>
      <c r="J212" s="3"/>
      <c r="K212" s="3"/>
      <c r="L212" s="3"/>
      <c r="M212" s="3"/>
      <c r="N212" s="16"/>
    </row>
    <row r="213" spans="1:14" ht="13.5" thickBot="1" x14ac:dyDescent="0.35">
      <c r="A213" s="16"/>
      <c r="B213" s="3"/>
      <c r="C213" s="15"/>
      <c r="D213" s="34"/>
      <c r="E213" s="34"/>
      <c r="F213" s="23"/>
      <c r="G213" s="23"/>
      <c r="H213" s="3"/>
      <c r="I213" s="3"/>
      <c r="J213" s="3"/>
      <c r="K213" s="3"/>
      <c r="L213" s="3"/>
      <c r="M213" s="3"/>
      <c r="N213" s="16"/>
    </row>
    <row r="214" spans="1:14" ht="18.75" customHeight="1" thickBot="1" x14ac:dyDescent="0.35">
      <c r="A214" s="16"/>
      <c r="B214" s="3"/>
      <c r="C214" s="312" t="s">
        <v>311</v>
      </c>
      <c r="D214" s="320" t="str">
        <f>Utbyggingsinformasjon!M90</f>
        <v>Kjølemaskin</v>
      </c>
      <c r="E214" s="260">
        <f>VLOOKUP(D214,C211:F212,3,FALSE)</f>
        <v>7.5</v>
      </c>
      <c r="F214" s="261">
        <f>VLOOKUP(D214,C211:F212,4,FALSE)</f>
        <v>56.666666666666671</v>
      </c>
      <c r="G214" s="317"/>
      <c r="H214" s="3"/>
      <c r="I214" s="3"/>
      <c r="J214" s="3"/>
      <c r="K214" s="3"/>
      <c r="L214" s="3"/>
      <c r="M214" s="3"/>
      <c r="N214" s="16"/>
    </row>
    <row r="215" spans="1:14" x14ac:dyDescent="0.3">
      <c r="A215" s="16"/>
      <c r="B215" s="3"/>
      <c r="C215" s="3"/>
      <c r="D215" s="3"/>
      <c r="E215" s="3"/>
      <c r="F215" s="3"/>
      <c r="G215" s="3"/>
      <c r="H215" s="3"/>
      <c r="I215" s="15"/>
      <c r="J215" s="25"/>
      <c r="K215" s="3"/>
      <c r="L215" s="3"/>
      <c r="M215" s="3"/>
      <c r="N215" s="16"/>
    </row>
    <row r="216" spans="1:14" x14ac:dyDescent="0.3">
      <c r="A216" s="16"/>
      <c r="B216" s="16"/>
      <c r="C216" s="16"/>
      <c r="D216" s="16"/>
      <c r="E216" s="16"/>
      <c r="F216" s="16"/>
      <c r="G216" s="16"/>
      <c r="H216" s="16"/>
      <c r="I216" s="16"/>
      <c r="J216" s="16"/>
      <c r="K216" s="16"/>
      <c r="L216" s="16"/>
      <c r="M216" s="16"/>
      <c r="N216" s="16"/>
    </row>
    <row r="217" spans="1:14" x14ac:dyDescent="0.3">
      <c r="A217" s="16"/>
      <c r="B217" s="3"/>
      <c r="C217" s="3"/>
      <c r="D217" s="3"/>
      <c r="E217" s="3"/>
      <c r="F217" s="3"/>
      <c r="G217" s="3"/>
      <c r="H217" s="3"/>
      <c r="I217" s="3"/>
      <c r="J217" s="3"/>
      <c r="K217" s="3"/>
      <c r="L217" s="3"/>
      <c r="M217" s="3"/>
      <c r="N217" s="16"/>
    </row>
    <row r="218" spans="1:14" x14ac:dyDescent="0.3">
      <c r="A218" s="16"/>
      <c r="B218" s="3"/>
      <c r="C218" s="4" t="s">
        <v>248</v>
      </c>
      <c r="D218" s="3"/>
      <c r="E218" s="3"/>
      <c r="F218" s="3"/>
      <c r="G218" s="3"/>
      <c r="H218" s="3"/>
      <c r="I218" s="3"/>
      <c r="J218" s="3"/>
      <c r="K218" s="3"/>
      <c r="L218" s="3"/>
      <c r="M218" s="3"/>
      <c r="N218" s="16"/>
    </row>
    <row r="219" spans="1:14" ht="37.5" customHeight="1" x14ac:dyDescent="0.3">
      <c r="A219" s="16"/>
      <c r="B219" s="3"/>
      <c r="C219" s="395" t="s">
        <v>347</v>
      </c>
      <c r="D219" s="395"/>
      <c r="E219" s="395"/>
      <c r="F219" s="395"/>
      <c r="G219" s="395"/>
      <c r="H219" s="395"/>
      <c r="I219" s="395"/>
      <c r="J219" s="395"/>
      <c r="K219" s="395"/>
      <c r="L219" s="3"/>
      <c r="M219" s="3"/>
      <c r="N219" s="16"/>
    </row>
    <row r="220" spans="1:14" x14ac:dyDescent="0.3">
      <c r="A220" s="16"/>
      <c r="B220" s="3"/>
      <c r="C220" s="245"/>
      <c r="D220" s="245"/>
      <c r="E220" s="245"/>
      <c r="F220" s="245"/>
      <c r="G220" s="245"/>
      <c r="H220" s="245"/>
      <c r="I220" s="245"/>
      <c r="J220" s="245"/>
      <c r="K220" s="245"/>
      <c r="L220" s="3"/>
      <c r="M220" s="3"/>
      <c r="N220" s="16"/>
    </row>
    <row r="221" spans="1:14" ht="15" customHeight="1" x14ac:dyDescent="0.3">
      <c r="A221" s="16"/>
      <c r="B221" s="3"/>
      <c r="C221" s="453" t="s">
        <v>194</v>
      </c>
      <c r="D221" s="453"/>
      <c r="E221" s="453"/>
      <c r="F221" s="453"/>
      <c r="G221" s="453"/>
      <c r="H221" s="453"/>
      <c r="I221" s="245"/>
      <c r="J221" s="245"/>
      <c r="K221" s="245"/>
      <c r="L221" s="3"/>
      <c r="M221" s="3"/>
      <c r="N221" s="16"/>
    </row>
    <row r="222" spans="1:14" x14ac:dyDescent="0.3">
      <c r="A222" s="16"/>
      <c r="B222" s="3"/>
      <c r="C222" s="441" t="s">
        <v>57</v>
      </c>
      <c r="D222" s="443" t="s">
        <v>240</v>
      </c>
      <c r="E222" s="444"/>
      <c r="F222" s="445"/>
      <c r="G222" s="446" t="s">
        <v>79</v>
      </c>
      <c r="H222" s="447"/>
      <c r="I222" s="245"/>
      <c r="J222" s="245"/>
      <c r="K222" s="245"/>
      <c r="L222" s="3"/>
      <c r="M222" s="3"/>
      <c r="N222" s="16"/>
    </row>
    <row r="223" spans="1:14" x14ac:dyDescent="0.3">
      <c r="A223" s="16"/>
      <c r="B223" s="3"/>
      <c r="C223" s="442"/>
      <c r="D223" s="268" t="s">
        <v>58</v>
      </c>
      <c r="E223" s="273" t="s">
        <v>239</v>
      </c>
      <c r="F223" s="271" t="s">
        <v>238</v>
      </c>
      <c r="G223" s="150" t="s">
        <v>42</v>
      </c>
      <c r="H223" s="309" t="s">
        <v>43</v>
      </c>
      <c r="I223" s="245"/>
      <c r="J223" s="245"/>
      <c r="K223" s="245"/>
      <c r="L223" s="3"/>
      <c r="M223" s="3"/>
      <c r="N223" s="16"/>
    </row>
    <row r="224" spans="1:14" x14ac:dyDescent="0.3">
      <c r="A224" s="16"/>
      <c r="B224" s="3"/>
      <c r="C224" s="48" t="s">
        <v>45</v>
      </c>
      <c r="D224" s="269">
        <v>0.6</v>
      </c>
      <c r="E224" s="274">
        <v>0.25</v>
      </c>
      <c r="F224" s="265">
        <v>0.15</v>
      </c>
      <c r="G224" s="326">
        <f>($D224*F$187)+($E224*H$202)+(F224*E214)</f>
        <v>16.424999999999997</v>
      </c>
      <c r="H224" s="46">
        <f>($D224*G$187)+($E224*I$202)+(F224*F214)</f>
        <v>124.1</v>
      </c>
      <c r="I224" s="279"/>
      <c r="J224" s="245"/>
      <c r="K224" s="245"/>
      <c r="L224" s="3"/>
      <c r="M224" s="3"/>
      <c r="N224" s="16"/>
    </row>
    <row r="225" spans="1:14" x14ac:dyDescent="0.3">
      <c r="A225" s="16"/>
      <c r="B225" s="3"/>
      <c r="C225" s="262" t="s">
        <v>32</v>
      </c>
      <c r="D225" s="270">
        <v>0.6</v>
      </c>
      <c r="E225" s="275">
        <v>0.3</v>
      </c>
      <c r="F225" s="272">
        <v>0.1</v>
      </c>
      <c r="G225" s="328">
        <f>($D225*F$187)+($E225*H$202)+(F225*E214)</f>
        <v>16.95</v>
      </c>
      <c r="H225" s="263">
        <f>($D225*G$187)+($E225*I$202)+(F225*F214)</f>
        <v>128.06666666666666</v>
      </c>
      <c r="I225" s="314"/>
      <c r="J225" s="245"/>
      <c r="K225" s="245"/>
      <c r="L225" s="3"/>
      <c r="M225" s="3"/>
      <c r="N225" s="16"/>
    </row>
    <row r="226" spans="1:14" x14ac:dyDescent="0.3">
      <c r="A226" s="16"/>
      <c r="B226" s="3"/>
      <c r="C226" s="245"/>
      <c r="D226" s="245"/>
      <c r="E226" s="245"/>
      <c r="F226" s="245"/>
      <c r="G226" s="245"/>
      <c r="H226" s="245"/>
      <c r="I226" s="279"/>
      <c r="J226" s="245"/>
      <c r="K226" s="245"/>
      <c r="L226" s="3"/>
      <c r="M226" s="3"/>
      <c r="N226" s="16"/>
    </row>
    <row r="227" spans="1:14" ht="15" customHeight="1" x14ac:dyDescent="0.3">
      <c r="A227" s="16"/>
      <c r="B227" s="3"/>
      <c r="C227" s="453" t="s">
        <v>178</v>
      </c>
      <c r="D227" s="453"/>
      <c r="E227" s="453"/>
      <c r="F227" s="453"/>
      <c r="G227" s="453"/>
      <c r="H227" s="453"/>
      <c r="I227" s="279"/>
      <c r="J227" s="245"/>
      <c r="K227" s="245"/>
      <c r="L227" s="3"/>
      <c r="M227" s="3"/>
      <c r="N227" s="16"/>
    </row>
    <row r="228" spans="1:14" x14ac:dyDescent="0.3">
      <c r="A228" s="16"/>
      <c r="B228" s="3"/>
      <c r="C228" s="441" t="s">
        <v>57</v>
      </c>
      <c r="D228" s="443" t="s">
        <v>240</v>
      </c>
      <c r="E228" s="444"/>
      <c r="F228" s="445"/>
      <c r="G228" s="446" t="s">
        <v>79</v>
      </c>
      <c r="H228" s="447"/>
      <c r="I228" s="279"/>
      <c r="J228" s="245"/>
      <c r="K228" s="245"/>
      <c r="L228" s="3"/>
      <c r="M228" s="3"/>
      <c r="N228" s="16"/>
    </row>
    <row r="229" spans="1:14" x14ac:dyDescent="0.3">
      <c r="A229" s="16"/>
      <c r="B229" s="3"/>
      <c r="C229" s="442"/>
      <c r="D229" s="268" t="s">
        <v>58</v>
      </c>
      <c r="E229" s="273" t="s">
        <v>239</v>
      </c>
      <c r="F229" s="271" t="s">
        <v>238</v>
      </c>
      <c r="G229" s="150" t="s">
        <v>42</v>
      </c>
      <c r="H229" s="309" t="s">
        <v>43</v>
      </c>
      <c r="I229" s="279"/>
      <c r="J229" s="245"/>
      <c r="K229" s="245"/>
      <c r="L229" s="3"/>
      <c r="M229" s="3"/>
      <c r="N229" s="16"/>
    </row>
    <row r="230" spans="1:14" x14ac:dyDescent="0.3">
      <c r="A230" s="16"/>
      <c r="B230" s="3"/>
      <c r="C230" s="264" t="s">
        <v>45</v>
      </c>
      <c r="D230" s="270">
        <v>0.5</v>
      </c>
      <c r="E230" s="275">
        <v>0.3</v>
      </c>
      <c r="F230" s="272">
        <v>0.2</v>
      </c>
      <c r="G230" s="328">
        <f>($D230*F$187)+($E230*H$202)+(F230*E214)</f>
        <v>15.899999999999999</v>
      </c>
      <c r="H230" s="263">
        <f>($D230*G$187)+($E230*I$202)+(F230*F214)</f>
        <v>120.13333333333333</v>
      </c>
      <c r="I230" s="279"/>
      <c r="J230" s="245"/>
      <c r="K230" s="245"/>
      <c r="L230" s="3"/>
      <c r="M230" s="3"/>
      <c r="N230" s="16"/>
    </row>
    <row r="231" spans="1:14" x14ac:dyDescent="0.3">
      <c r="A231" s="16"/>
      <c r="B231" s="3"/>
      <c r="C231" s="262" t="s">
        <v>32</v>
      </c>
      <c r="D231" s="270">
        <v>0.4</v>
      </c>
      <c r="E231" s="275">
        <v>0.4</v>
      </c>
      <c r="F231" s="272">
        <v>0.2</v>
      </c>
      <c r="G231" s="328">
        <f>($D231*F$187)+($E231*H$202)+(F231*E214)</f>
        <v>15.9</v>
      </c>
      <c r="H231" s="263">
        <f>($D231*G$187)+($E231*I$202)+(F231*F214)</f>
        <v>120.13333333333335</v>
      </c>
      <c r="I231" s="279"/>
      <c r="J231" s="245"/>
      <c r="K231" s="245"/>
      <c r="L231" s="3"/>
      <c r="M231" s="3"/>
      <c r="N231" s="16"/>
    </row>
    <row r="232" spans="1:14" x14ac:dyDescent="0.3">
      <c r="A232" s="16"/>
      <c r="B232" s="3"/>
      <c r="C232" s="246"/>
      <c r="D232" s="246"/>
      <c r="E232" s="246"/>
      <c r="F232" s="246"/>
      <c r="G232" s="246"/>
      <c r="H232" s="246"/>
      <c r="I232" s="279"/>
      <c r="J232" s="245"/>
      <c r="K232" s="245"/>
      <c r="L232" s="3"/>
      <c r="M232" s="3"/>
      <c r="N232" s="16"/>
    </row>
    <row r="233" spans="1:14" ht="15" customHeight="1" x14ac:dyDescent="0.3">
      <c r="A233" s="16"/>
      <c r="B233" s="3"/>
      <c r="C233" s="453" t="s">
        <v>195</v>
      </c>
      <c r="D233" s="453"/>
      <c r="E233" s="453"/>
      <c r="F233" s="453"/>
      <c r="G233" s="453"/>
      <c r="H233" s="453"/>
      <c r="I233" s="279"/>
      <c r="J233" s="245"/>
      <c r="K233" s="245"/>
      <c r="L233" s="3"/>
      <c r="M233" s="3"/>
      <c r="N233" s="16"/>
    </row>
    <row r="234" spans="1:14" x14ac:dyDescent="0.3">
      <c r="A234" s="16"/>
      <c r="B234" s="3"/>
      <c r="C234" s="448" t="s">
        <v>57</v>
      </c>
      <c r="D234" s="450" t="s">
        <v>240</v>
      </c>
      <c r="E234" s="451"/>
      <c r="F234" s="452"/>
      <c r="G234" s="446" t="s">
        <v>79</v>
      </c>
      <c r="H234" s="447"/>
      <c r="I234" s="279"/>
      <c r="J234" s="3"/>
      <c r="K234" s="3"/>
      <c r="L234" s="3"/>
      <c r="M234" s="3"/>
      <c r="N234" s="16"/>
    </row>
    <row r="235" spans="1:14" x14ac:dyDescent="0.3">
      <c r="A235" s="16"/>
      <c r="B235" s="3"/>
      <c r="C235" s="449"/>
      <c r="D235" s="276" t="s">
        <v>58</v>
      </c>
      <c r="E235" s="278" t="s">
        <v>239</v>
      </c>
      <c r="F235" s="277" t="s">
        <v>238</v>
      </c>
      <c r="G235" s="329" t="s">
        <v>42</v>
      </c>
      <c r="H235" s="327" t="s">
        <v>43</v>
      </c>
      <c r="I235" s="279"/>
      <c r="J235" s="3"/>
      <c r="K235" s="3"/>
      <c r="L235" s="3"/>
      <c r="M235" s="3"/>
      <c r="N235" s="16"/>
    </row>
    <row r="236" spans="1:14" x14ac:dyDescent="0.3">
      <c r="A236" s="16"/>
      <c r="B236" s="3"/>
      <c r="C236" s="264" t="s">
        <v>45</v>
      </c>
      <c r="D236" s="270">
        <v>0.45</v>
      </c>
      <c r="E236" s="275">
        <v>0.45</v>
      </c>
      <c r="F236" s="272">
        <v>0.1</v>
      </c>
      <c r="G236" s="328">
        <f>($D236*F$187)+($E236*H$202)+(F236*E214)</f>
        <v>16.95</v>
      </c>
      <c r="H236" s="263">
        <f>($D236*G$187)+($E236*I$202)+(F236*F214)</f>
        <v>128.06666666666666</v>
      </c>
      <c r="I236" s="279"/>
      <c r="J236" s="3"/>
      <c r="K236" s="3"/>
      <c r="L236" s="30"/>
      <c r="M236" s="30"/>
      <c r="N236" s="16"/>
    </row>
    <row r="237" spans="1:14" x14ac:dyDescent="0.3">
      <c r="A237" s="20"/>
      <c r="B237" s="21"/>
      <c r="C237" s="262" t="s">
        <v>32</v>
      </c>
      <c r="D237" s="270">
        <v>0.5</v>
      </c>
      <c r="E237" s="275">
        <v>0.4</v>
      </c>
      <c r="F237" s="272">
        <v>0.1</v>
      </c>
      <c r="G237" s="328">
        <f>($D237*F$187)+($E237*H$202)+(F237*E214)</f>
        <v>16.95</v>
      </c>
      <c r="H237" s="263">
        <f>($D237*G$187)+($E237*I$202)+(F237*F214)</f>
        <v>128.06666666666666</v>
      </c>
      <c r="I237" s="279"/>
      <c r="J237" s="3"/>
      <c r="K237" s="3"/>
      <c r="L237" s="23"/>
      <c r="M237" s="23"/>
      <c r="N237" s="20"/>
    </row>
    <row r="238" spans="1:14" x14ac:dyDescent="0.3">
      <c r="A238" s="20"/>
      <c r="B238" s="21"/>
      <c r="C238" s="245"/>
      <c r="D238" s="247"/>
      <c r="E238" s="27"/>
      <c r="F238" s="27"/>
      <c r="G238" s="27"/>
      <c r="H238" s="27"/>
      <c r="I238" s="3"/>
      <c r="J238" s="3"/>
      <c r="K238" s="3"/>
      <c r="L238" s="23"/>
      <c r="M238" s="23"/>
      <c r="N238" s="20"/>
    </row>
    <row r="239" spans="1:14" x14ac:dyDescent="0.3">
      <c r="A239" s="16"/>
      <c r="B239" s="3"/>
      <c r="C239" s="3"/>
      <c r="D239" s="3"/>
      <c r="E239" s="3"/>
      <c r="F239" s="3"/>
      <c r="G239" s="3"/>
      <c r="H239" s="3"/>
      <c r="I239" s="3"/>
      <c r="J239" s="3"/>
      <c r="K239" s="3"/>
      <c r="L239" s="3"/>
      <c r="M239" s="3"/>
      <c r="N239" s="16"/>
    </row>
    <row r="240" spans="1:14" x14ac:dyDescent="0.3">
      <c r="A240" s="16"/>
      <c r="B240" s="16"/>
      <c r="C240" s="16"/>
      <c r="D240" s="16"/>
      <c r="E240" s="16"/>
      <c r="F240" s="16"/>
      <c r="G240" s="16"/>
      <c r="H240" s="16"/>
      <c r="I240" s="16"/>
      <c r="J240" s="16"/>
      <c r="K240" s="16"/>
      <c r="L240" s="16"/>
      <c r="M240" s="16"/>
      <c r="N240" s="16"/>
    </row>
    <row r="241" spans="1:15" x14ac:dyDescent="0.3">
      <c r="A241" s="16"/>
      <c r="B241" s="3"/>
      <c r="C241" s="3"/>
      <c r="D241" s="3"/>
      <c r="E241" s="3"/>
      <c r="F241" s="3"/>
      <c r="G241" s="3"/>
      <c r="H241" s="3"/>
      <c r="I241" s="3"/>
      <c r="J241" s="3"/>
      <c r="K241" s="3"/>
      <c r="L241" s="3"/>
      <c r="M241" s="3"/>
      <c r="N241" s="16"/>
    </row>
    <row r="242" spans="1:15" x14ac:dyDescent="0.3">
      <c r="A242" s="16"/>
      <c r="B242" s="3"/>
      <c r="C242" s="4" t="s">
        <v>249</v>
      </c>
      <c r="D242" s="3"/>
      <c r="E242" s="3"/>
      <c r="F242" s="3"/>
      <c r="G242" s="3"/>
      <c r="H242" s="3"/>
      <c r="I242" s="3"/>
      <c r="J242" s="3"/>
      <c r="K242" s="3"/>
      <c r="L242" s="3"/>
      <c r="M242" s="3"/>
      <c r="N242" s="16"/>
    </row>
    <row r="243" spans="1:15" ht="30" customHeight="1" x14ac:dyDescent="0.3">
      <c r="A243" s="16"/>
      <c r="B243" s="3"/>
      <c r="C243" s="387" t="s">
        <v>96</v>
      </c>
      <c r="D243" s="387"/>
      <c r="E243" s="387"/>
      <c r="F243" s="387"/>
      <c r="G243" s="387"/>
      <c r="H243" s="387"/>
      <c r="I243" s="387"/>
      <c r="J243" s="387"/>
      <c r="K243" s="387"/>
      <c r="L243" s="3"/>
      <c r="M243" s="3"/>
      <c r="N243" s="16"/>
    </row>
    <row r="244" spans="1:15" x14ac:dyDescent="0.3">
      <c r="A244" s="16"/>
      <c r="B244" s="3"/>
      <c r="C244" s="4"/>
      <c r="D244" s="3"/>
      <c r="E244" s="3"/>
      <c r="F244" s="3"/>
      <c r="G244" s="3"/>
      <c r="H244" s="3"/>
      <c r="I244" s="3"/>
      <c r="J244" s="3"/>
      <c r="K244" s="3"/>
      <c r="L244" s="3"/>
      <c r="M244" s="3"/>
      <c r="N244" s="16"/>
    </row>
    <row r="245" spans="1:15" x14ac:dyDescent="0.3">
      <c r="A245" s="16"/>
      <c r="B245" s="3"/>
      <c r="C245" s="5" t="s">
        <v>0</v>
      </c>
      <c r="D245" s="454" t="s">
        <v>62</v>
      </c>
      <c r="E245" s="480" t="s">
        <v>44</v>
      </c>
      <c r="F245" s="454" t="s">
        <v>63</v>
      </c>
      <c r="G245" s="454" t="s">
        <v>64</v>
      </c>
      <c r="H245" s="472" t="s">
        <v>42</v>
      </c>
      <c r="I245" s="472"/>
      <c r="J245" s="472" t="s">
        <v>43</v>
      </c>
      <c r="K245" s="472"/>
      <c r="L245" s="3"/>
      <c r="M245" s="3"/>
      <c r="N245" s="69"/>
      <c r="O245" s="2"/>
    </row>
    <row r="246" spans="1:15" ht="26" x14ac:dyDescent="0.3">
      <c r="A246" s="16"/>
      <c r="B246" s="3"/>
      <c r="C246" s="119"/>
      <c r="D246" s="455"/>
      <c r="E246" s="455"/>
      <c r="F246" s="455"/>
      <c r="G246" s="456"/>
      <c r="H246" s="47" t="s">
        <v>82</v>
      </c>
      <c r="I246" s="47" t="s">
        <v>83</v>
      </c>
      <c r="J246" s="47" t="s">
        <v>82</v>
      </c>
      <c r="K246" s="47" t="s">
        <v>83</v>
      </c>
      <c r="L246" s="3"/>
      <c r="M246" s="3"/>
      <c r="N246" s="16"/>
      <c r="O246" s="2"/>
    </row>
    <row r="247" spans="1:15" x14ac:dyDescent="0.3">
      <c r="A247" s="16"/>
      <c r="B247" s="3"/>
      <c r="C247" s="7" t="s">
        <v>177</v>
      </c>
      <c r="D247" s="83">
        <f>SUM(Utbyggingsinformasjon!E29:E30)</f>
        <v>0</v>
      </c>
      <c r="E247" s="477" t="str">
        <f>Utbyggingsinformasjon!M81</f>
        <v>TEK17 (default)</v>
      </c>
      <c r="F247" s="104">
        <f>VLOOKUP($E$247,$C$139:$F$140,2,FALSE)</f>
        <v>115</v>
      </c>
      <c r="G247" s="113">
        <f>D247*F247</f>
        <v>0</v>
      </c>
      <c r="H247" s="115">
        <f>VLOOKUP($E$247,$C$224:$H$225,5,FALSE)</f>
        <v>16.424999999999997</v>
      </c>
      <c r="I247" s="105">
        <f>(G247*H247)/1000000</f>
        <v>0</v>
      </c>
      <c r="J247" s="115">
        <f>VLOOKUP($E$247,$C$224:$H$225,6,FALSE)</f>
        <v>124.1</v>
      </c>
      <c r="K247" s="105">
        <f>(G247*J247)/1000000</f>
        <v>0</v>
      </c>
      <c r="L247" s="3"/>
      <c r="M247" s="3"/>
      <c r="N247" s="16"/>
    </row>
    <row r="248" spans="1:15" x14ac:dyDescent="0.3">
      <c r="A248" s="16"/>
      <c r="B248" s="3"/>
      <c r="C248" s="7" t="s">
        <v>178</v>
      </c>
      <c r="D248" s="83">
        <f>SUM(Utbyggingsinformasjon!E31:E32)</f>
        <v>0</v>
      </c>
      <c r="E248" s="478"/>
      <c r="F248" s="104">
        <f>VLOOKUP($E$247,$C$139:$F$140,3,FALSE)</f>
        <v>180</v>
      </c>
      <c r="G248" s="113">
        <f>D248*F248</f>
        <v>0</v>
      </c>
      <c r="H248" s="115">
        <f>VLOOKUP($E$247,$C$230:$H$231,5,FALSE)</f>
        <v>15.899999999999999</v>
      </c>
      <c r="I248" s="105">
        <f>(G248*H248)/1000000</f>
        <v>0</v>
      </c>
      <c r="J248" s="115">
        <f>VLOOKUP($E$247,$C$230:$H$231,6,FALSE)</f>
        <v>120.13333333333333</v>
      </c>
      <c r="K248" s="105">
        <f>(G248*J248)/1000000</f>
        <v>0</v>
      </c>
      <c r="L248" s="3"/>
      <c r="M248" s="3"/>
      <c r="N248" s="16"/>
    </row>
    <row r="249" spans="1:15" x14ac:dyDescent="0.3">
      <c r="A249" s="16"/>
      <c r="B249" s="3"/>
      <c r="C249" s="7" t="s">
        <v>181</v>
      </c>
      <c r="D249" s="199">
        <f>SUM(Utbyggingsinformasjon!E33:E34)</f>
        <v>0</v>
      </c>
      <c r="E249" s="479"/>
      <c r="F249" s="104">
        <f>VLOOKUP($E$247,$C$139:$F$140,4,FALSE)</f>
        <v>140</v>
      </c>
      <c r="G249" s="113">
        <f>D249*F249</f>
        <v>0</v>
      </c>
      <c r="H249" s="115">
        <f>VLOOKUP($E$247,$C$236:$H$237,5,FALSE)</f>
        <v>16.95</v>
      </c>
      <c r="I249" s="105">
        <f>(G249*H249)/1000000</f>
        <v>0</v>
      </c>
      <c r="J249" s="115">
        <f>VLOOKUP($E$247,$C$236:$H$237,6,FALSE)</f>
        <v>128.06666666666666</v>
      </c>
      <c r="K249" s="105">
        <f>(G249*J249)/1000000</f>
        <v>0</v>
      </c>
      <c r="L249" s="3"/>
      <c r="M249" s="3"/>
      <c r="N249" s="16"/>
    </row>
    <row r="250" spans="1:15" x14ac:dyDescent="0.3">
      <c r="A250" s="16"/>
      <c r="B250" s="3"/>
      <c r="C250" s="3"/>
      <c r="D250" s="91"/>
      <c r="E250" s="91"/>
      <c r="F250" s="91"/>
      <c r="G250" s="91"/>
      <c r="H250" s="230" t="s">
        <v>95</v>
      </c>
      <c r="I250" s="161">
        <f>SUM(I247:I249)</f>
        <v>0</v>
      </c>
      <c r="J250" s="230" t="s">
        <v>95</v>
      </c>
      <c r="K250" s="161">
        <f>SUM(K247:K249)</f>
        <v>0</v>
      </c>
      <c r="L250" s="3"/>
      <c r="M250" s="3"/>
      <c r="N250" s="16"/>
    </row>
    <row r="251" spans="1:15" x14ac:dyDescent="0.3">
      <c r="A251" s="16"/>
      <c r="B251" s="3"/>
      <c r="C251" s="3"/>
      <c r="D251" s="3"/>
      <c r="E251" s="3"/>
      <c r="F251" s="3"/>
      <c r="G251" s="3"/>
      <c r="H251" s="230" t="s">
        <v>150</v>
      </c>
      <c r="I251" s="161">
        <f>I250*60</f>
        <v>0</v>
      </c>
      <c r="J251" s="230" t="s">
        <v>150</v>
      </c>
      <c r="K251" s="161">
        <f>K250*60</f>
        <v>0</v>
      </c>
      <c r="L251" s="3"/>
      <c r="M251" s="3"/>
      <c r="N251" s="16"/>
    </row>
    <row r="252" spans="1:15" ht="13.5" thickBot="1" x14ac:dyDescent="0.35">
      <c r="A252" s="56"/>
      <c r="B252" s="57"/>
      <c r="C252" s="57"/>
      <c r="D252" s="57"/>
      <c r="E252" s="57"/>
      <c r="F252" s="57"/>
      <c r="G252" s="57"/>
      <c r="H252" s="58"/>
      <c r="I252" s="58"/>
      <c r="J252" s="57"/>
      <c r="K252" s="59"/>
      <c r="L252" s="57"/>
      <c r="M252" s="57"/>
      <c r="N252" s="56"/>
    </row>
    <row r="253" spans="1:15" ht="27.75" customHeight="1" thickBot="1" x14ac:dyDescent="0.35">
      <c r="A253" s="488" t="s">
        <v>118</v>
      </c>
      <c r="B253" s="488"/>
      <c r="C253" s="488"/>
      <c r="D253" s="488"/>
      <c r="E253" s="488"/>
      <c r="F253" s="488"/>
      <c r="G253" s="488"/>
      <c r="H253" s="488"/>
      <c r="I253" s="488"/>
      <c r="J253" s="488"/>
      <c r="K253" s="488"/>
      <c r="L253" s="488"/>
      <c r="M253" s="488"/>
      <c r="N253" s="488"/>
    </row>
    <row r="254" spans="1:15" x14ac:dyDescent="0.3">
      <c r="A254" s="16"/>
      <c r="B254" s="3"/>
      <c r="C254" s="12"/>
      <c r="D254" s="3"/>
      <c r="E254" s="3"/>
      <c r="F254" s="3"/>
      <c r="G254" s="3"/>
      <c r="H254" s="3"/>
      <c r="I254" s="3"/>
      <c r="J254" s="3"/>
      <c r="K254" s="3"/>
      <c r="L254" s="3"/>
      <c r="M254" s="3"/>
      <c r="N254" s="16"/>
    </row>
    <row r="255" spans="1:15" ht="60.75" customHeight="1" x14ac:dyDescent="0.3">
      <c r="A255" s="16"/>
      <c r="B255" s="3"/>
      <c r="C255" s="513" t="s">
        <v>295</v>
      </c>
      <c r="D255" s="513"/>
      <c r="E255" s="513"/>
      <c r="F255" s="513"/>
      <c r="G255" s="513"/>
      <c r="H255" s="513"/>
      <c r="I255" s="513"/>
      <c r="J255" s="513"/>
      <c r="K255" s="513"/>
      <c r="L255" s="513"/>
      <c r="M255" s="87"/>
      <c r="N255" s="29"/>
    </row>
    <row r="256" spans="1:15" x14ac:dyDescent="0.3">
      <c r="A256" s="16"/>
      <c r="B256" s="16"/>
      <c r="C256" s="16"/>
      <c r="D256" s="16"/>
      <c r="E256" s="16"/>
      <c r="F256" s="16"/>
      <c r="G256" s="16"/>
      <c r="H256" s="16"/>
      <c r="I256" s="16"/>
      <c r="J256" s="16"/>
      <c r="K256" s="16"/>
      <c r="L256" s="16"/>
      <c r="M256" s="16"/>
      <c r="N256" s="16"/>
    </row>
    <row r="257" spans="1:14" x14ac:dyDescent="0.3">
      <c r="A257" s="16"/>
      <c r="B257" s="3"/>
      <c r="C257" s="3"/>
      <c r="D257" s="3"/>
      <c r="E257" s="3"/>
      <c r="F257" s="3"/>
      <c r="G257" s="3"/>
      <c r="H257" s="3"/>
      <c r="I257" s="3"/>
      <c r="J257" s="3"/>
      <c r="K257" s="3"/>
      <c r="L257" s="3"/>
      <c r="M257" s="3"/>
      <c r="N257" s="16"/>
    </row>
    <row r="258" spans="1:14" x14ac:dyDescent="0.3">
      <c r="A258" s="16"/>
      <c r="B258" s="3"/>
      <c r="C258" s="4" t="s">
        <v>119</v>
      </c>
      <c r="D258" s="3"/>
      <c r="E258" s="3"/>
      <c r="F258" s="3"/>
      <c r="G258" s="3"/>
      <c r="H258" s="3"/>
      <c r="I258" s="3"/>
      <c r="J258" s="3"/>
      <c r="K258" s="3"/>
      <c r="L258" s="3"/>
      <c r="M258" s="3"/>
      <c r="N258" s="16"/>
    </row>
    <row r="259" spans="1:14" ht="38.25" customHeight="1" x14ac:dyDescent="0.3">
      <c r="A259" s="16"/>
      <c r="B259" s="3"/>
      <c r="C259" s="387" t="s">
        <v>281</v>
      </c>
      <c r="D259" s="387"/>
      <c r="E259" s="387"/>
      <c r="F259" s="387"/>
      <c r="G259" s="387"/>
      <c r="H259" s="387"/>
      <c r="I259" s="387"/>
      <c r="J259" s="387"/>
      <c r="K259" s="387"/>
      <c r="L259" s="13"/>
      <c r="M259" s="3"/>
      <c r="N259" s="16"/>
    </row>
    <row r="260" spans="1:14" x14ac:dyDescent="0.3">
      <c r="A260" s="16"/>
      <c r="B260" s="3"/>
      <c r="C260" s="4"/>
      <c r="D260" s="3"/>
      <c r="E260" s="3"/>
      <c r="F260" s="3"/>
      <c r="G260" s="3"/>
      <c r="H260" s="3"/>
      <c r="I260" s="3"/>
      <c r="J260" s="3"/>
      <c r="K260" s="3"/>
      <c r="L260" s="3"/>
      <c r="M260" s="3"/>
      <c r="N260" s="16"/>
    </row>
    <row r="261" spans="1:14" ht="26" x14ac:dyDescent="0.3">
      <c r="A261" s="16"/>
      <c r="B261" s="3"/>
      <c r="C261" s="118" t="s">
        <v>86</v>
      </c>
      <c r="D261" s="47" t="s">
        <v>93</v>
      </c>
      <c r="E261" s="3"/>
      <c r="F261" s="3"/>
      <c r="G261" s="3"/>
      <c r="H261" s="3"/>
      <c r="I261" s="3"/>
      <c r="J261" s="3"/>
      <c r="K261" s="3"/>
      <c r="L261" s="3"/>
      <c r="M261" s="3"/>
      <c r="N261" s="16"/>
    </row>
    <row r="262" spans="1:14" x14ac:dyDescent="0.3">
      <c r="A262" s="16"/>
      <c r="B262" s="3"/>
      <c r="C262" s="7" t="s">
        <v>87</v>
      </c>
      <c r="D262" s="71">
        <v>0</v>
      </c>
      <c r="E262" s="3"/>
      <c r="F262" s="3"/>
      <c r="G262" s="3"/>
      <c r="H262" s="3"/>
      <c r="I262" s="3"/>
      <c r="J262" s="3"/>
      <c r="K262" s="3"/>
      <c r="L262" s="3"/>
      <c r="M262" s="3"/>
      <c r="N262" s="16"/>
    </row>
    <row r="263" spans="1:14" x14ac:dyDescent="0.3">
      <c r="A263" s="16"/>
      <c r="B263" s="3"/>
      <c r="C263" s="7" t="s">
        <v>88</v>
      </c>
      <c r="D263" s="71">
        <v>60</v>
      </c>
      <c r="E263" s="3"/>
      <c r="F263" s="3"/>
      <c r="G263" s="3"/>
      <c r="H263" s="3"/>
      <c r="I263" s="3"/>
      <c r="J263" s="3"/>
      <c r="K263" s="3"/>
      <c r="L263" s="3"/>
      <c r="M263" s="3"/>
      <c r="N263" s="16"/>
    </row>
    <row r="264" spans="1:14" x14ac:dyDescent="0.3">
      <c r="A264" s="16"/>
      <c r="B264" s="3"/>
      <c r="C264" s="7" t="s">
        <v>89</v>
      </c>
      <c r="D264" s="71">
        <v>68.3</v>
      </c>
      <c r="E264" s="3"/>
      <c r="F264" s="3"/>
      <c r="G264" s="3"/>
      <c r="H264" s="3"/>
      <c r="I264" s="3"/>
      <c r="J264" s="3"/>
      <c r="K264" s="3"/>
      <c r="L264" s="3"/>
      <c r="M264" s="3"/>
      <c r="N264" s="16"/>
    </row>
    <row r="265" spans="1:14" x14ac:dyDescent="0.3">
      <c r="A265" s="16"/>
      <c r="B265" s="3"/>
      <c r="C265" s="7" t="s">
        <v>90</v>
      </c>
      <c r="D265" s="71">
        <v>79.900000000000006</v>
      </c>
      <c r="E265" s="3"/>
      <c r="F265" s="3"/>
      <c r="G265" s="3"/>
      <c r="H265" s="3"/>
      <c r="I265" s="3"/>
      <c r="J265" s="3"/>
      <c r="K265" s="3"/>
      <c r="L265" s="3"/>
      <c r="M265" s="3"/>
      <c r="N265" s="16"/>
    </row>
    <row r="266" spans="1:14" x14ac:dyDescent="0.3">
      <c r="A266" s="16"/>
      <c r="B266" s="3"/>
      <c r="C266" s="7" t="s">
        <v>91</v>
      </c>
      <c r="D266" s="71">
        <v>55.1</v>
      </c>
      <c r="E266" s="3"/>
      <c r="F266" s="3"/>
      <c r="G266" s="3"/>
      <c r="H266" s="3"/>
      <c r="I266" s="3"/>
      <c r="J266" s="3"/>
      <c r="K266" s="3"/>
      <c r="L266" s="3"/>
      <c r="M266" s="3"/>
      <c r="N266" s="16"/>
    </row>
    <row r="267" spans="1:14" x14ac:dyDescent="0.3">
      <c r="A267" s="16"/>
      <c r="B267" s="3"/>
      <c r="C267" s="7" t="s">
        <v>92</v>
      </c>
      <c r="D267" s="71">
        <v>201.9</v>
      </c>
      <c r="E267" s="3"/>
      <c r="F267" s="3"/>
      <c r="G267" s="3"/>
      <c r="H267" s="3"/>
      <c r="I267" s="3"/>
      <c r="J267" s="3"/>
      <c r="K267" s="3"/>
      <c r="L267" s="3"/>
      <c r="M267" s="3"/>
      <c r="N267" s="16"/>
    </row>
    <row r="268" spans="1:14" x14ac:dyDescent="0.3">
      <c r="A268" s="16"/>
      <c r="B268" s="3"/>
      <c r="C268" s="4"/>
      <c r="D268" s="3"/>
      <c r="E268" s="3"/>
      <c r="F268" s="3"/>
      <c r="G268" s="3"/>
      <c r="H268" s="3"/>
      <c r="I268" s="3"/>
      <c r="J268" s="3"/>
      <c r="K268" s="3"/>
      <c r="L268" s="3"/>
      <c r="M268" s="3"/>
      <c r="N268" s="16"/>
    </row>
    <row r="269" spans="1:14" x14ac:dyDescent="0.3">
      <c r="A269" s="16"/>
      <c r="B269" s="3"/>
      <c r="C269" s="4"/>
      <c r="D269" s="3"/>
      <c r="E269" s="3"/>
      <c r="F269" s="3"/>
      <c r="G269" s="3"/>
      <c r="H269" s="3"/>
      <c r="I269" s="3"/>
      <c r="J269" s="3"/>
      <c r="K269" s="3"/>
      <c r="L269" s="3"/>
      <c r="M269" s="3"/>
      <c r="N269" s="16"/>
    </row>
    <row r="270" spans="1:14" x14ac:dyDescent="0.3">
      <c r="A270" s="16"/>
      <c r="B270" s="16"/>
      <c r="C270" s="16"/>
      <c r="D270" s="16"/>
      <c r="E270" s="16"/>
      <c r="F270" s="16"/>
      <c r="G270" s="16"/>
      <c r="H270" s="16"/>
      <c r="I270" s="16"/>
      <c r="J270" s="16"/>
      <c r="K270" s="16"/>
      <c r="L270" s="16"/>
      <c r="M270" s="16"/>
      <c r="N270" s="16"/>
    </row>
    <row r="271" spans="1:14" x14ac:dyDescent="0.3">
      <c r="A271" s="16"/>
      <c r="B271" s="3"/>
      <c r="C271" s="3"/>
      <c r="D271" s="3"/>
      <c r="E271" s="3"/>
      <c r="F271" s="3"/>
      <c r="G271" s="3"/>
      <c r="H271" s="3"/>
      <c r="I271" s="3"/>
      <c r="J271" s="3"/>
      <c r="K271" s="3"/>
      <c r="L271" s="3"/>
      <c r="M271" s="3"/>
      <c r="N271" s="16"/>
    </row>
    <row r="272" spans="1:14" x14ac:dyDescent="0.3">
      <c r="A272" s="16"/>
      <c r="B272" s="3"/>
      <c r="C272" s="4" t="s">
        <v>120</v>
      </c>
      <c r="D272" s="3"/>
      <c r="E272" s="3"/>
      <c r="F272" s="3"/>
      <c r="G272" s="3"/>
      <c r="H272" s="3"/>
      <c r="I272" s="3"/>
      <c r="J272" s="3"/>
      <c r="K272" s="3"/>
      <c r="L272" s="3"/>
      <c r="M272" s="3"/>
      <c r="N272" s="16"/>
    </row>
    <row r="273" spans="1:14" ht="30" customHeight="1" x14ac:dyDescent="0.3">
      <c r="A273" s="16"/>
      <c r="B273" s="3"/>
      <c r="C273" s="387" t="s">
        <v>280</v>
      </c>
      <c r="D273" s="531"/>
      <c r="E273" s="531"/>
      <c r="F273" s="531"/>
      <c r="G273" s="531"/>
      <c r="H273" s="531"/>
      <c r="I273" s="531"/>
      <c r="J273" s="531"/>
      <c r="K273" s="531"/>
      <c r="L273" s="3"/>
      <c r="M273" s="3"/>
      <c r="N273" s="16"/>
    </row>
    <row r="274" spans="1:14" x14ac:dyDescent="0.3">
      <c r="A274" s="16"/>
      <c r="B274" s="3"/>
      <c r="C274" s="3"/>
      <c r="D274" s="3"/>
      <c r="E274" s="3"/>
      <c r="F274" s="3"/>
      <c r="G274" s="3"/>
      <c r="H274" s="3"/>
      <c r="I274" s="3"/>
      <c r="J274" s="3"/>
      <c r="K274" s="3"/>
      <c r="L274" s="3"/>
      <c r="M274" s="3"/>
      <c r="N274" s="16"/>
    </row>
    <row r="275" spans="1:14" ht="26" x14ac:dyDescent="0.3">
      <c r="A275" s="16"/>
      <c r="B275" s="3"/>
      <c r="C275" s="118" t="s">
        <v>86</v>
      </c>
      <c r="D275" s="47" t="s">
        <v>116</v>
      </c>
      <c r="E275" s="47" t="s">
        <v>93</v>
      </c>
      <c r="F275" s="47" t="s">
        <v>94</v>
      </c>
      <c r="G275" s="3"/>
      <c r="H275" s="3"/>
      <c r="I275" s="3"/>
      <c r="J275" s="3"/>
      <c r="K275" s="3"/>
      <c r="L275" s="3"/>
      <c r="M275" s="3"/>
      <c r="N275" s="16"/>
    </row>
    <row r="276" spans="1:14" x14ac:dyDescent="0.3">
      <c r="A276" s="16"/>
      <c r="B276" s="3"/>
      <c r="C276" s="7" t="s">
        <v>87</v>
      </c>
      <c r="D276" s="90">
        <f>Utbyggingsinformasjon!E103</f>
        <v>0</v>
      </c>
      <c r="E276" s="71">
        <v>0</v>
      </c>
      <c r="F276" s="120">
        <f t="shared" ref="F276:F281" si="11">(D276*E276)/1000</f>
        <v>0</v>
      </c>
      <c r="G276" s="3"/>
      <c r="H276" s="3"/>
      <c r="I276" s="3"/>
      <c r="J276" s="3"/>
      <c r="K276" s="3"/>
      <c r="L276" s="3"/>
      <c r="M276" s="3"/>
      <c r="N276" s="16"/>
    </row>
    <row r="277" spans="1:14" x14ac:dyDescent="0.3">
      <c r="A277" s="16"/>
      <c r="B277" s="3"/>
      <c r="C277" s="7" t="s">
        <v>88</v>
      </c>
      <c r="D277" s="90">
        <f>Utbyggingsinformasjon!E104</f>
        <v>0</v>
      </c>
      <c r="E277" s="71">
        <v>60</v>
      </c>
      <c r="F277" s="120">
        <f t="shared" si="11"/>
        <v>0</v>
      </c>
      <c r="G277" s="3"/>
      <c r="H277" s="3"/>
      <c r="I277" s="3"/>
      <c r="J277" s="3"/>
      <c r="K277" s="3"/>
      <c r="L277" s="3"/>
      <c r="M277" s="3"/>
      <c r="N277" s="16"/>
    </row>
    <row r="278" spans="1:14" x14ac:dyDescent="0.3">
      <c r="A278" s="16"/>
      <c r="B278" s="3"/>
      <c r="C278" s="7" t="s">
        <v>89</v>
      </c>
      <c r="D278" s="90">
        <f>Utbyggingsinformasjon!E105</f>
        <v>0</v>
      </c>
      <c r="E278" s="71">
        <v>68.3</v>
      </c>
      <c r="F278" s="120">
        <f t="shared" si="11"/>
        <v>0</v>
      </c>
      <c r="G278" s="3"/>
      <c r="H278" s="3"/>
      <c r="I278" s="3"/>
      <c r="J278" s="3"/>
      <c r="K278" s="3"/>
      <c r="L278" s="3"/>
      <c r="M278" s="3"/>
      <c r="N278" s="16"/>
    </row>
    <row r="279" spans="1:14" x14ac:dyDescent="0.3">
      <c r="A279" s="16"/>
      <c r="B279" s="3"/>
      <c r="C279" s="7" t="s">
        <v>90</v>
      </c>
      <c r="D279" s="90">
        <f>Utbyggingsinformasjon!E106</f>
        <v>0</v>
      </c>
      <c r="E279" s="71">
        <v>79.900000000000006</v>
      </c>
      <c r="F279" s="120">
        <f t="shared" si="11"/>
        <v>0</v>
      </c>
      <c r="G279" s="3"/>
      <c r="H279" s="3"/>
      <c r="I279" s="3"/>
      <c r="J279" s="3"/>
      <c r="K279" s="3"/>
      <c r="L279" s="3"/>
      <c r="M279" s="3"/>
      <c r="N279" s="16"/>
    </row>
    <row r="280" spans="1:14" x14ac:dyDescent="0.3">
      <c r="A280" s="16"/>
      <c r="B280" s="3"/>
      <c r="C280" s="7" t="s">
        <v>135</v>
      </c>
      <c r="D280" s="90">
        <f>Utbyggingsinformasjon!E107</f>
        <v>0</v>
      </c>
      <c r="E280" s="71">
        <v>55.1</v>
      </c>
      <c r="F280" s="120">
        <f t="shared" si="11"/>
        <v>0</v>
      </c>
      <c r="G280" s="3"/>
      <c r="H280" s="3"/>
      <c r="I280" s="3"/>
      <c r="J280" s="3"/>
      <c r="K280" s="3"/>
      <c r="L280" s="3"/>
      <c r="M280" s="3"/>
      <c r="N280" s="16"/>
    </row>
    <row r="281" spans="1:14" x14ac:dyDescent="0.3">
      <c r="A281" s="16"/>
      <c r="B281" s="3"/>
      <c r="C281" s="7" t="s">
        <v>92</v>
      </c>
      <c r="D281" s="90">
        <f>Utbyggingsinformasjon!E108</f>
        <v>0</v>
      </c>
      <c r="E281" s="71">
        <v>201.9</v>
      </c>
      <c r="F281" s="120">
        <f t="shared" si="11"/>
        <v>0</v>
      </c>
      <c r="G281" s="3"/>
      <c r="H281" s="3"/>
      <c r="I281" s="3"/>
      <c r="J281" s="3"/>
      <c r="K281" s="3"/>
      <c r="L281" s="3"/>
      <c r="M281" s="3"/>
      <c r="N281" s="16"/>
    </row>
    <row r="282" spans="1:14" x14ac:dyDescent="0.3">
      <c r="A282" s="16"/>
      <c r="B282" s="3"/>
      <c r="C282" s="4"/>
      <c r="D282" s="3"/>
      <c r="E282" s="160" t="s">
        <v>150</v>
      </c>
      <c r="F282" s="88">
        <f>SUM(F276:F281)</f>
        <v>0</v>
      </c>
      <c r="G282" s="3"/>
      <c r="H282" s="3"/>
      <c r="I282" s="3"/>
      <c r="J282" s="3"/>
      <c r="K282" s="3"/>
      <c r="L282" s="3"/>
      <c r="M282" s="3"/>
      <c r="N282" s="16"/>
    </row>
    <row r="283" spans="1:14" x14ac:dyDescent="0.3">
      <c r="A283" s="16"/>
      <c r="B283" s="3"/>
      <c r="C283" s="3"/>
      <c r="D283" s="3"/>
      <c r="E283" s="3"/>
      <c r="F283" s="3"/>
      <c r="G283" s="3"/>
      <c r="H283" s="3"/>
      <c r="I283" s="3"/>
      <c r="J283" s="3"/>
      <c r="K283" s="3"/>
      <c r="L283" s="3"/>
      <c r="M283" s="3"/>
      <c r="N283" s="16"/>
    </row>
    <row r="284" spans="1:14" x14ac:dyDescent="0.3">
      <c r="A284" s="16"/>
      <c r="B284" s="3"/>
      <c r="C284" s="3"/>
      <c r="D284" s="3"/>
      <c r="E284" s="3"/>
      <c r="F284" s="3"/>
      <c r="G284" s="3"/>
      <c r="H284" s="3"/>
      <c r="I284" s="3"/>
      <c r="J284" s="3"/>
      <c r="K284" s="3"/>
      <c r="L284" s="3"/>
      <c r="M284" s="3"/>
      <c r="N284" s="16"/>
    </row>
    <row r="285" spans="1:14" x14ac:dyDescent="0.3">
      <c r="A285" s="16"/>
      <c r="B285" s="16"/>
      <c r="C285" s="16"/>
      <c r="D285" s="16"/>
      <c r="E285" s="16"/>
      <c r="F285" s="16"/>
      <c r="G285" s="16"/>
      <c r="H285" s="16"/>
      <c r="I285" s="16"/>
      <c r="J285" s="16"/>
      <c r="K285" s="16"/>
      <c r="L285" s="16"/>
      <c r="M285" s="16"/>
      <c r="N285" s="16"/>
    </row>
    <row r="286" spans="1:14" x14ac:dyDescent="0.3">
      <c r="A286" s="16"/>
      <c r="B286" s="3"/>
      <c r="C286" s="3"/>
      <c r="D286" s="3"/>
      <c r="E286" s="3"/>
      <c r="F286" s="3"/>
      <c r="G286" s="3"/>
      <c r="H286" s="3"/>
      <c r="I286" s="3"/>
      <c r="J286" s="3"/>
      <c r="K286" s="3"/>
      <c r="L286" s="3"/>
      <c r="M286" s="3"/>
      <c r="N286" s="16"/>
    </row>
    <row r="287" spans="1:14" x14ac:dyDescent="0.3">
      <c r="A287" s="16"/>
      <c r="B287" s="3"/>
      <c r="C287" s="4" t="s">
        <v>164</v>
      </c>
      <c r="D287" s="3"/>
      <c r="E287" s="3"/>
      <c r="F287" s="3"/>
      <c r="G287" s="3"/>
      <c r="H287" s="3"/>
      <c r="I287" s="3"/>
      <c r="J287" s="3"/>
      <c r="K287" s="3"/>
      <c r="L287" s="3"/>
      <c r="M287" s="3"/>
      <c r="N287" s="16"/>
    </row>
    <row r="288" spans="1:14" ht="38.25" customHeight="1" x14ac:dyDescent="0.3">
      <c r="A288" s="16"/>
      <c r="B288" s="3"/>
      <c r="C288" s="395" t="s">
        <v>282</v>
      </c>
      <c r="D288" s="395"/>
      <c r="E288" s="395"/>
      <c r="F288" s="395"/>
      <c r="G288" s="395"/>
      <c r="H288" s="395"/>
      <c r="I288" s="395"/>
      <c r="J288" s="395"/>
      <c r="K288" s="395"/>
      <c r="L288" s="308"/>
      <c r="M288" s="3"/>
      <c r="N288" s="16"/>
    </row>
    <row r="289" spans="1:14" ht="26" x14ac:dyDescent="0.3">
      <c r="A289" s="16"/>
      <c r="B289" s="3"/>
      <c r="C289" s="304" t="s">
        <v>165</v>
      </c>
      <c r="D289" s="315" t="s">
        <v>296</v>
      </c>
      <c r="E289" s="315" t="s">
        <v>297</v>
      </c>
      <c r="F289" s="3"/>
      <c r="G289" s="168"/>
      <c r="H289" s="168"/>
      <c r="I289" s="168"/>
      <c r="J289" s="168"/>
      <c r="K289" s="168"/>
      <c r="L289" s="3"/>
      <c r="M289" s="3"/>
      <c r="N289" s="16"/>
    </row>
    <row r="290" spans="1:14" x14ac:dyDescent="0.3">
      <c r="A290" s="16"/>
      <c r="B290" s="3"/>
      <c r="C290" s="318">
        <f>Utbyggingsinformasjon!M102</f>
        <v>0</v>
      </c>
      <c r="D290" s="319">
        <f>F282</f>
        <v>0</v>
      </c>
      <c r="E290" s="319">
        <f>D290*(1-C290)</f>
        <v>0</v>
      </c>
      <c r="F290" s="3"/>
      <c r="G290" s="168"/>
      <c r="H290" s="168"/>
      <c r="I290" s="168"/>
      <c r="J290" s="168"/>
      <c r="K290" s="168"/>
      <c r="L290" s="3"/>
      <c r="M290" s="3"/>
      <c r="N290" s="16"/>
    </row>
    <row r="291" spans="1:14" x14ac:dyDescent="0.3">
      <c r="A291" s="16"/>
      <c r="B291" s="3"/>
      <c r="C291" s="3"/>
      <c r="D291" s="3"/>
      <c r="E291" s="3"/>
      <c r="F291" s="3"/>
      <c r="G291" s="3"/>
      <c r="H291" s="3"/>
      <c r="I291" s="3"/>
      <c r="J291" s="3"/>
      <c r="K291" s="3"/>
      <c r="L291" s="3"/>
      <c r="M291" s="3"/>
      <c r="N291" s="16"/>
    </row>
    <row r="292" spans="1:14" x14ac:dyDescent="0.3">
      <c r="A292" s="16"/>
      <c r="B292" s="3"/>
      <c r="C292" s="4" t="s">
        <v>68</v>
      </c>
      <c r="D292" s="3"/>
      <c r="E292" s="3"/>
      <c r="F292" s="3"/>
      <c r="G292" s="3"/>
      <c r="H292" s="3"/>
      <c r="I292" s="3"/>
      <c r="J292" s="3"/>
      <c r="K292" s="3"/>
      <c r="L292" s="3"/>
      <c r="M292" s="3"/>
      <c r="N292" s="16"/>
    </row>
    <row r="293" spans="1:14" x14ac:dyDescent="0.3">
      <c r="A293" s="16"/>
      <c r="B293" s="3"/>
      <c r="C293" s="485" t="s">
        <v>67</v>
      </c>
      <c r="D293" s="322">
        <v>0</v>
      </c>
      <c r="E293" s="3"/>
      <c r="F293" s="3"/>
      <c r="G293" s="3"/>
      <c r="H293" s="3"/>
      <c r="I293" s="3"/>
      <c r="J293" s="3"/>
      <c r="K293" s="3"/>
      <c r="L293" s="3"/>
      <c r="M293" s="3"/>
      <c r="N293" s="16"/>
    </row>
    <row r="294" spans="1:14" x14ac:dyDescent="0.3">
      <c r="A294" s="16"/>
      <c r="B294" s="3"/>
      <c r="C294" s="486"/>
      <c r="D294" s="330">
        <v>0.05</v>
      </c>
      <c r="E294" s="3"/>
      <c r="F294" s="3"/>
      <c r="G294" s="3"/>
      <c r="H294" s="3"/>
      <c r="I294" s="3"/>
      <c r="J294" s="3"/>
      <c r="K294" s="3"/>
      <c r="L294" s="3"/>
      <c r="M294" s="3"/>
      <c r="N294" s="16"/>
    </row>
    <row r="295" spans="1:14" x14ac:dyDescent="0.3">
      <c r="A295" s="16"/>
      <c r="B295" s="3"/>
      <c r="C295" s="486"/>
      <c r="D295" s="330">
        <v>0.1</v>
      </c>
      <c r="E295" s="3"/>
      <c r="F295" s="3"/>
      <c r="G295" s="3"/>
      <c r="H295" s="3"/>
      <c r="I295" s="3"/>
      <c r="J295" s="3"/>
      <c r="K295" s="3"/>
      <c r="L295" s="3"/>
      <c r="M295" s="3"/>
      <c r="N295" s="16"/>
    </row>
    <row r="296" spans="1:14" x14ac:dyDescent="0.3">
      <c r="A296" s="16"/>
      <c r="B296" s="3"/>
      <c r="C296" s="486"/>
      <c r="D296" s="331">
        <v>0.15</v>
      </c>
      <c r="E296" s="3"/>
      <c r="F296" s="3"/>
      <c r="G296" s="3"/>
      <c r="H296" s="3"/>
      <c r="I296" s="3"/>
      <c r="J296" s="3"/>
      <c r="K296" s="3"/>
      <c r="L296" s="3"/>
      <c r="M296" s="3"/>
      <c r="N296" s="16"/>
    </row>
    <row r="297" spans="1:14" x14ac:dyDescent="0.3">
      <c r="A297" s="16"/>
      <c r="B297" s="3"/>
      <c r="C297" s="486"/>
      <c r="D297" s="331">
        <v>0.2</v>
      </c>
      <c r="E297" s="3"/>
      <c r="F297" s="3"/>
      <c r="G297" s="3"/>
      <c r="H297" s="3"/>
      <c r="I297" s="3"/>
      <c r="J297" s="3"/>
      <c r="K297" s="3"/>
      <c r="L297" s="3"/>
      <c r="M297" s="3"/>
      <c r="N297" s="16"/>
    </row>
    <row r="298" spans="1:14" x14ac:dyDescent="0.3">
      <c r="A298" s="16"/>
      <c r="B298" s="3"/>
      <c r="C298" s="486"/>
      <c r="D298" s="331">
        <v>0.25</v>
      </c>
      <c r="E298" s="3"/>
      <c r="F298" s="3"/>
      <c r="G298" s="3"/>
      <c r="H298" s="3"/>
      <c r="I298" s="3"/>
      <c r="J298" s="3"/>
      <c r="K298" s="3"/>
      <c r="L298" s="3"/>
      <c r="M298" s="3"/>
      <c r="N298" s="16"/>
    </row>
    <row r="299" spans="1:14" x14ac:dyDescent="0.3">
      <c r="A299" s="16"/>
      <c r="B299" s="3"/>
      <c r="C299" s="486"/>
      <c r="D299" s="331">
        <v>0.3</v>
      </c>
      <c r="E299" s="3"/>
      <c r="F299" s="3"/>
      <c r="G299" s="3"/>
      <c r="H299" s="3"/>
      <c r="I299" s="3"/>
      <c r="J299" s="3"/>
      <c r="K299" s="3"/>
      <c r="L299" s="3"/>
      <c r="M299" s="3"/>
      <c r="N299" s="16"/>
    </row>
    <row r="300" spans="1:14" x14ac:dyDescent="0.3">
      <c r="A300" s="16"/>
      <c r="B300" s="3"/>
      <c r="C300" s="486"/>
      <c r="D300" s="331">
        <v>0.35</v>
      </c>
      <c r="E300" s="3"/>
      <c r="F300" s="3"/>
      <c r="G300" s="3"/>
      <c r="H300" s="3"/>
      <c r="I300" s="3"/>
      <c r="J300" s="3"/>
      <c r="K300" s="3"/>
      <c r="L300" s="3"/>
      <c r="M300" s="3"/>
      <c r="N300" s="16"/>
    </row>
    <row r="301" spans="1:14" x14ac:dyDescent="0.3">
      <c r="A301" s="16"/>
      <c r="B301" s="3"/>
      <c r="C301" s="486"/>
      <c r="D301" s="331">
        <v>0.4</v>
      </c>
      <c r="E301" s="3"/>
      <c r="F301" s="3"/>
      <c r="G301" s="3"/>
      <c r="H301" s="3"/>
      <c r="I301" s="3"/>
      <c r="J301" s="3"/>
      <c r="K301" s="3"/>
      <c r="L301" s="3"/>
      <c r="M301" s="3"/>
      <c r="N301" s="16"/>
    </row>
    <row r="302" spans="1:14" x14ac:dyDescent="0.3">
      <c r="A302" s="16"/>
      <c r="B302" s="3"/>
      <c r="C302" s="487"/>
      <c r="D302" s="331">
        <v>0.5</v>
      </c>
      <c r="E302" s="3"/>
      <c r="F302" s="3"/>
      <c r="G302" s="3"/>
      <c r="H302" s="3"/>
      <c r="I302" s="3"/>
      <c r="J302" s="3"/>
      <c r="K302" s="3"/>
      <c r="L302" s="3"/>
      <c r="M302" s="3"/>
      <c r="N302" s="16"/>
    </row>
    <row r="303" spans="1:14" ht="13.5" thickBot="1" x14ac:dyDescent="0.35">
      <c r="A303" s="56"/>
      <c r="B303" s="57"/>
      <c r="C303" s="57"/>
      <c r="D303" s="57"/>
      <c r="E303" s="57"/>
      <c r="F303" s="57"/>
      <c r="G303" s="57"/>
      <c r="H303" s="58"/>
      <c r="I303" s="58"/>
      <c r="J303" s="57"/>
      <c r="K303" s="59"/>
      <c r="L303" s="57"/>
      <c r="M303" s="57"/>
      <c r="N303" s="56"/>
    </row>
    <row r="304" spans="1:14" ht="31.5" customHeight="1" thickBot="1" x14ac:dyDescent="0.35">
      <c r="A304" s="126" t="s">
        <v>131</v>
      </c>
      <c r="B304" s="126"/>
      <c r="C304" s="126"/>
      <c r="D304" s="126"/>
      <c r="E304" s="126"/>
      <c r="F304" s="126"/>
      <c r="G304" s="126"/>
      <c r="H304" s="126"/>
      <c r="I304" s="126"/>
      <c r="J304" s="126"/>
      <c r="K304" s="126"/>
      <c r="L304" s="126"/>
      <c r="M304" s="126"/>
      <c r="N304" s="126"/>
    </row>
    <row r="305" spans="1:15" x14ac:dyDescent="0.3">
      <c r="A305" s="16"/>
      <c r="B305" s="3"/>
      <c r="C305" s="12"/>
      <c r="D305" s="3"/>
      <c r="E305" s="3"/>
      <c r="F305" s="3"/>
      <c r="G305" s="3"/>
      <c r="H305" s="3"/>
      <c r="I305" s="3"/>
      <c r="J305" s="3"/>
      <c r="K305" s="3"/>
      <c r="L305" s="3"/>
      <c r="M305" s="3"/>
      <c r="N305" s="16"/>
    </row>
    <row r="306" spans="1:15" ht="75.75" customHeight="1" x14ac:dyDescent="0.3">
      <c r="A306" s="16"/>
      <c r="B306" s="3"/>
      <c r="C306" s="395" t="s">
        <v>348</v>
      </c>
      <c r="D306" s="395"/>
      <c r="E306" s="395"/>
      <c r="F306" s="395"/>
      <c r="G306" s="395"/>
      <c r="H306" s="395"/>
      <c r="I306" s="395"/>
      <c r="J306" s="395"/>
      <c r="K306" s="395"/>
      <c r="L306" s="128"/>
      <c r="M306" s="122"/>
      <c r="N306" s="29"/>
    </row>
    <row r="307" spans="1:15" x14ac:dyDescent="0.3">
      <c r="A307" s="16"/>
      <c r="B307" s="16"/>
      <c r="C307" s="16"/>
      <c r="D307" s="16"/>
      <c r="E307" s="16"/>
      <c r="F307" s="16"/>
      <c r="G307" s="16"/>
      <c r="H307" s="16"/>
      <c r="I307" s="16"/>
      <c r="J307" s="16"/>
      <c r="K307" s="16"/>
      <c r="L307" s="16"/>
      <c r="M307" s="16"/>
      <c r="N307" s="16"/>
    </row>
    <row r="308" spans="1:15" x14ac:dyDescent="0.3">
      <c r="A308" s="16"/>
      <c r="B308" s="3"/>
      <c r="C308" s="3"/>
      <c r="D308" s="3"/>
      <c r="E308" s="3"/>
      <c r="F308" s="3"/>
      <c r="G308" s="3"/>
      <c r="H308" s="3"/>
      <c r="I308" s="3"/>
      <c r="J308" s="3"/>
      <c r="K308" s="3"/>
      <c r="L308" s="3"/>
      <c r="M308" s="3"/>
      <c r="N308" s="16"/>
    </row>
    <row r="309" spans="1:15" x14ac:dyDescent="0.3">
      <c r="A309" s="16"/>
      <c r="B309" s="3"/>
      <c r="C309" s="4" t="s">
        <v>143</v>
      </c>
      <c r="D309" s="3"/>
      <c r="E309" s="3"/>
      <c r="F309" s="3"/>
      <c r="G309" s="3"/>
      <c r="H309" s="3"/>
      <c r="I309" s="3"/>
      <c r="J309" s="3"/>
      <c r="K309" s="3"/>
      <c r="L309" s="3"/>
      <c r="M309" s="3"/>
      <c r="N309" s="16"/>
    </row>
    <row r="310" spans="1:15" ht="64.5" customHeight="1" x14ac:dyDescent="0.3">
      <c r="A310" s="16"/>
      <c r="B310" s="3"/>
      <c r="C310" s="387" t="s">
        <v>349</v>
      </c>
      <c r="D310" s="387"/>
      <c r="E310" s="387"/>
      <c r="F310" s="387"/>
      <c r="G310" s="387"/>
      <c r="H310" s="387"/>
      <c r="I310" s="387"/>
      <c r="J310" s="387"/>
      <c r="K310" s="387"/>
      <c r="L310" s="3"/>
      <c r="M310" s="3"/>
      <c r="N310" s="16"/>
    </row>
    <row r="311" spans="1:15" x14ac:dyDescent="0.3">
      <c r="A311" s="16"/>
      <c r="B311" s="3"/>
      <c r="C311" s="4"/>
      <c r="D311" s="457" t="s">
        <v>128</v>
      </c>
      <c r="E311" s="458"/>
      <c r="F311" s="138" t="s">
        <v>127</v>
      </c>
      <c r="G311" s="3"/>
      <c r="H311" s="3"/>
      <c r="I311" s="3"/>
      <c r="J311" s="3"/>
      <c r="K311" s="3"/>
      <c r="L311" s="3"/>
      <c r="M311" s="3"/>
      <c r="N311" s="16"/>
    </row>
    <row r="312" spans="1:15" ht="26" x14ac:dyDescent="0.3">
      <c r="A312" s="16"/>
      <c r="B312" s="3"/>
      <c r="C312" s="127" t="s">
        <v>103</v>
      </c>
      <c r="D312" s="112" t="s">
        <v>114</v>
      </c>
      <c r="E312" s="112" t="s">
        <v>113</v>
      </c>
      <c r="F312" s="112" t="s">
        <v>129</v>
      </c>
      <c r="G312" s="3"/>
      <c r="H312" s="3"/>
      <c r="I312" s="3"/>
      <c r="J312" s="3"/>
      <c r="K312" s="3"/>
      <c r="L312" s="3"/>
      <c r="M312" s="3"/>
      <c r="N312" s="16"/>
      <c r="O312" s="2"/>
    </row>
    <row r="313" spans="1:15" x14ac:dyDescent="0.3">
      <c r="A313" s="16"/>
      <c r="B313" s="3"/>
      <c r="C313" s="7" t="s">
        <v>104</v>
      </c>
      <c r="D313" s="154">
        <v>6211</v>
      </c>
      <c r="E313" s="324">
        <f>D313/$D$316</f>
        <v>0.42532356365130453</v>
      </c>
      <c r="F313" s="133">
        <v>7.4999999999999997E-2</v>
      </c>
      <c r="G313" s="3"/>
      <c r="H313" s="3"/>
      <c r="I313" s="3"/>
      <c r="J313" s="3"/>
      <c r="K313" s="3"/>
      <c r="L313" s="3"/>
      <c r="M313" s="3"/>
      <c r="N313" s="16"/>
      <c r="O313" s="2"/>
    </row>
    <row r="314" spans="1:15" x14ac:dyDescent="0.3">
      <c r="A314" s="16"/>
      <c r="B314" s="3"/>
      <c r="C314" s="7" t="s">
        <v>108</v>
      </c>
      <c r="D314" s="154">
        <v>6590</v>
      </c>
      <c r="E314" s="324">
        <f>D314/$D$316</f>
        <v>0.45127713483530779</v>
      </c>
      <c r="F314" s="133">
        <v>0.20399999999999999</v>
      </c>
      <c r="G314" s="3"/>
      <c r="H314" s="3"/>
      <c r="I314" s="3"/>
      <c r="J314" s="3"/>
      <c r="K314" s="3"/>
      <c r="L314" s="3"/>
      <c r="M314" s="3"/>
      <c r="N314" s="16"/>
    </row>
    <row r="315" spans="1:15" x14ac:dyDescent="0.3">
      <c r="A315" s="16"/>
      <c r="B315" s="3"/>
      <c r="C315" s="132" t="s">
        <v>107</v>
      </c>
      <c r="D315" s="155">
        <v>1802</v>
      </c>
      <c r="E315" s="324">
        <f>D315/$D$316</f>
        <v>0.12339930151338765</v>
      </c>
      <c r="F315" s="133">
        <v>0.72199999999999998</v>
      </c>
      <c r="G315" s="3"/>
      <c r="H315" s="3"/>
      <c r="I315" s="3"/>
      <c r="J315" s="3"/>
      <c r="K315" s="3"/>
      <c r="L315" s="3"/>
      <c r="M315" s="3"/>
      <c r="N315" s="16"/>
    </row>
    <row r="316" spans="1:15" x14ac:dyDescent="0.3">
      <c r="A316" s="16"/>
      <c r="B316" s="3"/>
      <c r="C316" s="137" t="s">
        <v>95</v>
      </c>
      <c r="D316" s="113">
        <f>SUM(D313:D315)</f>
        <v>14603</v>
      </c>
      <c r="E316" s="324">
        <f>SUM(E313:E315)</f>
        <v>1</v>
      </c>
      <c r="F316" s="324">
        <f t="shared" ref="F316" si="12">SUM(F313:F315)</f>
        <v>1.0009999999999999</v>
      </c>
      <c r="G316" s="3"/>
      <c r="H316" s="3"/>
      <c r="I316" s="3"/>
      <c r="J316" s="3"/>
      <c r="K316" s="3"/>
      <c r="L316" s="3"/>
      <c r="M316" s="3"/>
      <c r="N316" s="16"/>
    </row>
    <row r="317" spans="1:15" x14ac:dyDescent="0.3">
      <c r="A317" s="16"/>
      <c r="B317" s="3"/>
      <c r="C317" s="4"/>
      <c r="D317" s="3"/>
      <c r="E317" s="3"/>
      <c r="F317" s="3"/>
      <c r="G317" s="3"/>
      <c r="H317" s="3"/>
      <c r="I317" s="3"/>
      <c r="J317" s="3"/>
      <c r="K317" s="3"/>
      <c r="L317" s="3"/>
      <c r="M317" s="3"/>
      <c r="N317" s="16"/>
    </row>
    <row r="318" spans="1:15" x14ac:dyDescent="0.3">
      <c r="A318" s="16"/>
      <c r="B318" s="3"/>
      <c r="C318" s="4"/>
      <c r="D318" s="3"/>
      <c r="E318" s="3"/>
      <c r="F318" s="3"/>
      <c r="G318" s="3"/>
      <c r="H318" s="3"/>
      <c r="I318" s="3"/>
      <c r="J318" s="3"/>
      <c r="K318" s="3"/>
      <c r="L318" s="3"/>
      <c r="M318" s="3"/>
      <c r="N318" s="16"/>
    </row>
    <row r="319" spans="1:15" x14ac:dyDescent="0.3">
      <c r="A319" s="16"/>
      <c r="B319" s="16"/>
      <c r="C319" s="16"/>
      <c r="D319" s="16"/>
      <c r="E319" s="16"/>
      <c r="F319" s="16"/>
      <c r="G319" s="16"/>
      <c r="H319" s="16"/>
      <c r="I319" s="16"/>
      <c r="J319" s="16"/>
      <c r="K319" s="16"/>
      <c r="L319" s="16"/>
      <c r="M319" s="16"/>
      <c r="N319" s="16"/>
    </row>
    <row r="320" spans="1:15" x14ac:dyDescent="0.3">
      <c r="A320" s="16"/>
      <c r="B320" s="3"/>
      <c r="C320" s="3"/>
      <c r="D320" s="3"/>
      <c r="E320" s="3"/>
      <c r="F320" s="3"/>
      <c r="G320" s="3"/>
      <c r="H320" s="3"/>
      <c r="I320" s="3"/>
      <c r="J320" s="3"/>
      <c r="K320" s="3"/>
      <c r="L320" s="3"/>
      <c r="M320" s="3"/>
      <c r="N320" s="16"/>
    </row>
    <row r="321" spans="1:15" x14ac:dyDescent="0.3">
      <c r="A321" s="16"/>
      <c r="B321" s="3"/>
      <c r="C321" s="4" t="s">
        <v>144</v>
      </c>
      <c r="D321" s="3"/>
      <c r="E321" s="3"/>
      <c r="F321" s="3"/>
      <c r="G321" s="3"/>
      <c r="H321" s="3"/>
      <c r="I321" s="3"/>
      <c r="J321" s="3"/>
      <c r="K321" s="3"/>
      <c r="L321" s="3"/>
      <c r="M321" s="3"/>
      <c r="N321" s="16"/>
    </row>
    <row r="322" spans="1:15" ht="39" customHeight="1" x14ac:dyDescent="0.3">
      <c r="A322" s="16"/>
      <c r="B322" s="3"/>
      <c r="C322" s="387" t="s">
        <v>167</v>
      </c>
      <c r="D322" s="387"/>
      <c r="E322" s="387"/>
      <c r="F322" s="387"/>
      <c r="G322" s="387"/>
      <c r="H322" s="387"/>
      <c r="I322" s="387"/>
      <c r="J322" s="387"/>
      <c r="K322" s="387"/>
      <c r="L322" s="3"/>
      <c r="M322" s="3"/>
      <c r="N322" s="16"/>
    </row>
    <row r="323" spans="1:15" x14ac:dyDescent="0.3">
      <c r="A323" s="16"/>
      <c r="B323" s="3"/>
      <c r="C323" s="4"/>
      <c r="D323" s="3"/>
      <c r="E323" s="3"/>
      <c r="F323" s="3"/>
      <c r="G323" s="3"/>
      <c r="H323" s="3"/>
      <c r="I323" s="3"/>
      <c r="J323" s="3"/>
      <c r="K323" s="3"/>
      <c r="L323" s="3"/>
      <c r="M323" s="3"/>
      <c r="N323" s="16"/>
    </row>
    <row r="324" spans="1:15" ht="39" x14ac:dyDescent="0.3">
      <c r="A324" s="16"/>
      <c r="B324" s="3"/>
      <c r="C324" s="127" t="s">
        <v>103</v>
      </c>
      <c r="D324" s="112" t="s">
        <v>298</v>
      </c>
      <c r="E324" s="112" t="s">
        <v>299</v>
      </c>
      <c r="F324" s="3"/>
      <c r="G324" s="3"/>
      <c r="H324" s="3"/>
      <c r="I324" s="3"/>
      <c r="J324" s="3"/>
      <c r="K324" s="3"/>
      <c r="L324" s="3"/>
      <c r="M324" s="3"/>
      <c r="N324" s="16"/>
    </row>
    <row r="325" spans="1:15" x14ac:dyDescent="0.3">
      <c r="A325" s="16"/>
      <c r="B325" s="3"/>
      <c r="C325" s="7" t="s">
        <v>106</v>
      </c>
      <c r="D325" s="71">
        <v>280</v>
      </c>
      <c r="E325" s="71">
        <v>280</v>
      </c>
      <c r="F325" s="3"/>
      <c r="G325" s="3"/>
      <c r="H325" s="3"/>
      <c r="I325" s="3"/>
      <c r="J325" s="3"/>
      <c r="K325" s="3"/>
      <c r="L325" s="3"/>
      <c r="M325" s="3"/>
      <c r="N325" s="16"/>
    </row>
    <row r="326" spans="1:15" x14ac:dyDescent="0.3">
      <c r="A326" s="16"/>
      <c r="B326" s="3"/>
      <c r="C326" s="7" t="s">
        <v>105</v>
      </c>
      <c r="D326" s="71">
        <v>320</v>
      </c>
      <c r="E326" s="71">
        <v>320</v>
      </c>
      <c r="F326" s="3"/>
      <c r="G326" s="3"/>
      <c r="H326" s="3"/>
      <c r="I326" s="3"/>
      <c r="J326" s="3"/>
      <c r="K326" s="3"/>
      <c r="L326" s="3"/>
      <c r="M326" s="3"/>
      <c r="N326" s="16"/>
    </row>
    <row r="327" spans="1:15" x14ac:dyDescent="0.3">
      <c r="A327" s="16"/>
      <c r="B327" s="3"/>
      <c r="C327" s="7" t="s">
        <v>107</v>
      </c>
      <c r="D327" s="71">
        <v>140</v>
      </c>
      <c r="E327" s="71">
        <v>160</v>
      </c>
      <c r="F327" s="3"/>
      <c r="G327" s="3"/>
      <c r="H327" s="3"/>
      <c r="I327" s="3"/>
      <c r="J327" s="3"/>
      <c r="K327" s="3"/>
      <c r="L327" s="3"/>
      <c r="M327" s="3"/>
      <c r="N327" s="16"/>
    </row>
    <row r="328" spans="1:15" x14ac:dyDescent="0.3">
      <c r="A328" s="16"/>
      <c r="B328" s="3"/>
      <c r="C328" s="7" t="s">
        <v>130</v>
      </c>
      <c r="D328" s="90">
        <f>D325*$F$313+D326*$F$314+D327*$F$315</f>
        <v>187.36</v>
      </c>
      <c r="E328" s="90">
        <f>E325*$F$313+E326*$F$314+E327*$F$315</f>
        <v>201.8</v>
      </c>
      <c r="F328" s="3"/>
      <c r="G328" s="3"/>
      <c r="H328" s="3"/>
      <c r="I328" s="3"/>
      <c r="J328" s="3"/>
      <c r="K328" s="3"/>
      <c r="L328" s="3"/>
      <c r="M328" s="3"/>
      <c r="N328" s="16"/>
    </row>
    <row r="329" spans="1:15" x14ac:dyDescent="0.3">
      <c r="A329" s="16"/>
      <c r="B329" s="3"/>
      <c r="C329" s="4"/>
      <c r="D329" s="3"/>
      <c r="E329" s="3"/>
      <c r="F329" s="3"/>
      <c r="G329" s="3"/>
      <c r="H329" s="3"/>
      <c r="I329" s="3"/>
      <c r="J329" s="3"/>
      <c r="K329" s="3"/>
      <c r="L329" s="3"/>
      <c r="M329" s="3"/>
      <c r="N329" s="16"/>
    </row>
    <row r="330" spans="1:15" x14ac:dyDescent="0.3">
      <c r="A330" s="16"/>
      <c r="B330" s="3"/>
      <c r="C330" s="4"/>
      <c r="D330" s="3"/>
      <c r="E330" s="3"/>
      <c r="F330" s="3"/>
      <c r="G330" s="3"/>
      <c r="H330" s="3"/>
      <c r="I330" s="3"/>
      <c r="J330" s="3"/>
      <c r="K330" s="3"/>
      <c r="L330" s="3"/>
      <c r="M330" s="3"/>
      <c r="N330" s="16"/>
    </row>
    <row r="331" spans="1:15" x14ac:dyDescent="0.3">
      <c r="A331" s="16"/>
      <c r="B331" s="16"/>
      <c r="C331" s="16"/>
      <c r="D331" s="16"/>
      <c r="E331" s="16"/>
      <c r="F331" s="16"/>
      <c r="G331" s="16"/>
      <c r="H331" s="16"/>
      <c r="I331" s="16"/>
      <c r="J331" s="16"/>
      <c r="K331" s="16"/>
      <c r="L331" s="16"/>
      <c r="M331" s="16"/>
      <c r="N331" s="16"/>
    </row>
    <row r="332" spans="1:15" x14ac:dyDescent="0.3">
      <c r="A332" s="16"/>
      <c r="B332" s="3"/>
      <c r="C332" s="3"/>
      <c r="D332" s="3"/>
      <c r="E332" s="3"/>
      <c r="F332" s="3"/>
      <c r="G332" s="3"/>
      <c r="H332" s="3"/>
      <c r="I332" s="3"/>
      <c r="J332" s="3"/>
      <c r="K332" s="3"/>
      <c r="L332" s="3"/>
      <c r="M332" s="3"/>
      <c r="N332" s="16"/>
    </row>
    <row r="333" spans="1:15" x14ac:dyDescent="0.3">
      <c r="A333" s="16"/>
      <c r="B333" s="3"/>
      <c r="C333" s="4" t="s">
        <v>145</v>
      </c>
      <c r="D333" s="3"/>
      <c r="E333" s="3"/>
      <c r="F333" s="3"/>
      <c r="G333" s="3"/>
      <c r="H333" s="3"/>
      <c r="I333" s="3"/>
      <c r="J333" s="3"/>
      <c r="K333" s="3"/>
      <c r="L333" s="3"/>
      <c r="M333" s="3"/>
      <c r="N333" s="16"/>
    </row>
    <row r="334" spans="1:15" ht="78.75" customHeight="1" x14ac:dyDescent="0.3">
      <c r="A334" s="16"/>
      <c r="B334" s="3"/>
      <c r="C334" s="387" t="s">
        <v>350</v>
      </c>
      <c r="D334" s="387"/>
      <c r="E334" s="387"/>
      <c r="F334" s="387"/>
      <c r="G334" s="387"/>
      <c r="H334" s="387"/>
      <c r="I334" s="387"/>
      <c r="J334" s="387"/>
      <c r="K334" s="387"/>
      <c r="L334" s="3"/>
      <c r="M334" s="3"/>
      <c r="N334" s="16"/>
      <c r="O334" s="2"/>
    </row>
    <row r="335" spans="1:15" ht="30.75" customHeight="1" x14ac:dyDescent="0.3">
      <c r="A335" s="16"/>
      <c r="B335" s="3"/>
      <c r="C335" s="4"/>
      <c r="D335" s="517" t="s">
        <v>283</v>
      </c>
      <c r="E335" s="518"/>
      <c r="F335" s="517" t="s">
        <v>284</v>
      </c>
      <c r="G335" s="518"/>
      <c r="H335" s="3"/>
      <c r="I335" s="3"/>
      <c r="J335" s="3"/>
      <c r="K335" s="3"/>
      <c r="L335" s="3"/>
      <c r="M335" s="3"/>
      <c r="N335" s="16"/>
      <c r="O335" s="2"/>
    </row>
    <row r="336" spans="1:15" ht="26" x14ac:dyDescent="0.3">
      <c r="A336" s="16"/>
      <c r="B336" s="3"/>
      <c r="C336" s="152" t="s">
        <v>199</v>
      </c>
      <c r="D336" s="150" t="s">
        <v>125</v>
      </c>
      <c r="E336" s="148" t="s">
        <v>126</v>
      </c>
      <c r="F336" s="150" t="s">
        <v>125</v>
      </c>
      <c r="G336" s="148" t="s">
        <v>126</v>
      </c>
      <c r="H336" s="3"/>
      <c r="I336" s="3"/>
      <c r="J336" s="3"/>
      <c r="K336" s="3"/>
      <c r="L336" s="3"/>
      <c r="M336" s="3"/>
      <c r="N336" s="16"/>
    </row>
    <row r="337" spans="1:15" x14ac:dyDescent="0.3">
      <c r="A337" s="16"/>
      <c r="B337" s="3"/>
      <c r="C337" s="205" t="s">
        <v>198</v>
      </c>
      <c r="D337" s="171">
        <v>0.74</v>
      </c>
      <c r="E337" s="172">
        <f>1-D337</f>
        <v>0.26</v>
      </c>
      <c r="F337" s="171">
        <v>0.87</v>
      </c>
      <c r="G337" s="172">
        <f>1-F337</f>
        <v>0.13</v>
      </c>
      <c r="H337" s="3"/>
      <c r="I337" s="3"/>
      <c r="J337" s="3"/>
      <c r="K337" s="3"/>
      <c r="L337" s="3"/>
      <c r="M337" s="3"/>
      <c r="N337" s="16"/>
    </row>
    <row r="338" spans="1:15" x14ac:dyDescent="0.3">
      <c r="A338" s="16"/>
      <c r="B338" s="3"/>
      <c r="C338" s="202" t="s">
        <v>338</v>
      </c>
      <c r="D338" s="151">
        <f>D337*0.8</f>
        <v>0.59199999999999997</v>
      </c>
      <c r="E338" s="149">
        <f>1-D338</f>
        <v>0.40800000000000003</v>
      </c>
      <c r="F338" s="151">
        <f>F337*0.8</f>
        <v>0.69600000000000006</v>
      </c>
      <c r="G338" s="149">
        <f>1-F338</f>
        <v>0.30399999999999994</v>
      </c>
      <c r="H338" s="3"/>
      <c r="I338" s="3"/>
      <c r="J338" s="3"/>
      <c r="K338" s="3"/>
      <c r="L338" s="3"/>
      <c r="M338" s="3"/>
      <c r="N338" s="16"/>
    </row>
    <row r="339" spans="1:15" x14ac:dyDescent="0.3">
      <c r="A339" s="16"/>
      <c r="B339" s="3"/>
      <c r="C339" s="202" t="s">
        <v>339</v>
      </c>
      <c r="D339" s="151">
        <f>D337*0.65</f>
        <v>0.48099999999999998</v>
      </c>
      <c r="E339" s="149">
        <f>1-D339</f>
        <v>0.51900000000000002</v>
      </c>
      <c r="F339" s="151">
        <f>F337*0.65</f>
        <v>0.5655</v>
      </c>
      <c r="G339" s="149">
        <f t="shared" ref="G339:G340" si="13">1-F339</f>
        <v>0.4345</v>
      </c>
      <c r="H339" s="3"/>
      <c r="I339" s="3"/>
      <c r="J339" s="3"/>
      <c r="K339" s="3"/>
      <c r="L339" s="3"/>
      <c r="M339" s="3"/>
      <c r="N339" s="16"/>
    </row>
    <row r="340" spans="1:15" x14ac:dyDescent="0.3">
      <c r="A340" s="16"/>
      <c r="B340" s="3"/>
      <c r="C340" s="202" t="s">
        <v>340</v>
      </c>
      <c r="D340" s="151">
        <f>D337*0.5</f>
        <v>0.37</v>
      </c>
      <c r="E340" s="149">
        <f>1-D340</f>
        <v>0.63</v>
      </c>
      <c r="F340" s="151">
        <f>F337*0.5</f>
        <v>0.435</v>
      </c>
      <c r="G340" s="149">
        <f t="shared" si="13"/>
        <v>0.56499999999999995</v>
      </c>
      <c r="H340" s="3"/>
      <c r="I340" s="3"/>
      <c r="J340" s="3"/>
      <c r="K340" s="3"/>
      <c r="L340" s="3"/>
      <c r="M340" s="3"/>
      <c r="N340" s="16"/>
    </row>
    <row r="341" spans="1:15" x14ac:dyDescent="0.3">
      <c r="A341" s="16"/>
      <c r="B341" s="3"/>
      <c r="C341" s="205" t="s">
        <v>337</v>
      </c>
      <c r="D341" s="151">
        <f>D337*0.4</f>
        <v>0.29599999999999999</v>
      </c>
      <c r="E341" s="149">
        <f>1-D341</f>
        <v>0.70399999999999996</v>
      </c>
      <c r="F341" s="151">
        <f>F337*0.4</f>
        <v>0.34800000000000003</v>
      </c>
      <c r="G341" s="149">
        <f t="shared" ref="G341" si="14">1-F341</f>
        <v>0.65199999999999991</v>
      </c>
      <c r="H341" s="3"/>
      <c r="I341" s="3"/>
      <c r="J341" s="3"/>
      <c r="K341" s="3"/>
      <c r="L341" s="3"/>
      <c r="M341" s="3"/>
      <c r="N341" s="16"/>
    </row>
    <row r="342" spans="1:15" x14ac:dyDescent="0.3">
      <c r="A342" s="16"/>
      <c r="B342" s="3"/>
      <c r="C342" s="4"/>
      <c r="D342" s="3"/>
      <c r="E342" s="3"/>
      <c r="F342" s="3"/>
      <c r="G342" s="3"/>
      <c r="H342" s="3"/>
      <c r="I342" s="3"/>
      <c r="J342" s="3"/>
      <c r="K342" s="3"/>
      <c r="L342" s="3"/>
      <c r="M342" s="3"/>
      <c r="N342" s="16"/>
    </row>
    <row r="343" spans="1:15" x14ac:dyDescent="0.3">
      <c r="A343" s="16"/>
      <c r="B343" s="16"/>
      <c r="C343" s="16"/>
      <c r="D343" s="16"/>
      <c r="E343" s="16"/>
      <c r="F343" s="16"/>
      <c r="G343" s="16"/>
      <c r="H343" s="16"/>
      <c r="I343" s="16"/>
      <c r="J343" s="16"/>
      <c r="K343" s="16"/>
      <c r="L343" s="16"/>
      <c r="M343" s="16"/>
      <c r="N343" s="16"/>
      <c r="O343" s="143"/>
    </row>
    <row r="344" spans="1:15" x14ac:dyDescent="0.3">
      <c r="A344" s="16"/>
      <c r="B344" s="3"/>
      <c r="C344" s="3"/>
      <c r="D344" s="3"/>
      <c r="E344" s="3"/>
      <c r="F344" s="3"/>
      <c r="G344" s="3"/>
      <c r="H344" s="3"/>
      <c r="I344" s="3"/>
      <c r="J344" s="3"/>
      <c r="K344" s="3"/>
      <c r="L344" s="3"/>
      <c r="M344" s="3"/>
      <c r="N344" s="16"/>
    </row>
    <row r="345" spans="1:15" x14ac:dyDescent="0.3">
      <c r="A345" s="16"/>
      <c r="B345" s="3"/>
      <c r="C345" s="4" t="s">
        <v>192</v>
      </c>
      <c r="D345" s="3"/>
      <c r="E345" s="3"/>
      <c r="F345" s="3"/>
      <c r="G345" s="3"/>
      <c r="H345" s="3"/>
      <c r="I345" s="3"/>
      <c r="J345" s="3"/>
      <c r="K345" s="3"/>
      <c r="L345" s="3"/>
      <c r="M345" s="3"/>
      <c r="N345" s="16"/>
    </row>
    <row r="346" spans="1:15" ht="28.5" customHeight="1" x14ac:dyDescent="0.3">
      <c r="A346" s="16"/>
      <c r="B346" s="3"/>
      <c r="C346" s="387" t="s">
        <v>285</v>
      </c>
      <c r="D346" s="387"/>
      <c r="E346" s="387"/>
      <c r="F346" s="387"/>
      <c r="G346" s="387"/>
      <c r="H346" s="387"/>
      <c r="I346" s="387"/>
      <c r="J346" s="387"/>
      <c r="K346" s="387"/>
      <c r="L346" s="3"/>
      <c r="M346" s="3"/>
      <c r="N346" s="16"/>
      <c r="O346" s="143"/>
    </row>
    <row r="347" spans="1:15" x14ac:dyDescent="0.3">
      <c r="A347" s="16"/>
      <c r="B347" s="3"/>
      <c r="C347" s="4"/>
      <c r="D347" s="3"/>
      <c r="E347" s="3"/>
      <c r="F347" s="3"/>
      <c r="G347" s="3"/>
      <c r="H347" s="3"/>
      <c r="I347" s="3"/>
      <c r="J347" s="3"/>
      <c r="K347" s="3"/>
      <c r="L347" s="3"/>
      <c r="M347" s="3"/>
      <c r="N347" s="16"/>
      <c r="O347" s="143"/>
    </row>
    <row r="348" spans="1:15" x14ac:dyDescent="0.3">
      <c r="A348" s="16"/>
      <c r="B348" s="3"/>
      <c r="C348" s="131" t="s">
        <v>109</v>
      </c>
      <c r="D348" s="125" t="s">
        <v>110</v>
      </c>
      <c r="E348" s="173" t="s">
        <v>305</v>
      </c>
      <c r="F348" s="141" t="s">
        <v>124</v>
      </c>
      <c r="G348" s="140"/>
      <c r="H348" s="139"/>
      <c r="I348" s="3"/>
      <c r="J348" s="3"/>
      <c r="K348" s="3"/>
      <c r="L348" s="3"/>
      <c r="M348" s="3"/>
      <c r="N348" s="16"/>
      <c r="O348" s="2"/>
    </row>
    <row r="349" spans="1:15" ht="12.75" customHeight="1" x14ac:dyDescent="0.3">
      <c r="A349" s="16"/>
      <c r="B349" s="3"/>
      <c r="C349" s="7" t="s">
        <v>123</v>
      </c>
      <c r="D349" s="133">
        <v>0.42</v>
      </c>
      <c r="E349" s="90">
        <f>Utbyggingsinformasjon!G15</f>
        <v>0</v>
      </c>
      <c r="F349" s="515" t="s">
        <v>138</v>
      </c>
      <c r="G349" s="515"/>
      <c r="H349" s="516"/>
      <c r="I349" s="3"/>
      <c r="J349" s="3"/>
      <c r="K349" s="3"/>
      <c r="L349" s="3"/>
      <c r="M349" s="3"/>
      <c r="N349" s="16"/>
      <c r="O349" s="2"/>
    </row>
    <row r="350" spans="1:15" x14ac:dyDescent="0.3">
      <c r="A350" s="16"/>
      <c r="B350" s="3"/>
      <c r="C350" s="7" t="s">
        <v>112</v>
      </c>
      <c r="D350" s="133">
        <v>0.34</v>
      </c>
      <c r="E350" s="90">
        <f>Utbyggingsinformasjon!G16</f>
        <v>0</v>
      </c>
      <c r="F350" s="515" t="s">
        <v>137</v>
      </c>
      <c r="G350" s="515"/>
      <c r="H350" s="516"/>
      <c r="I350" s="3"/>
      <c r="J350" s="3"/>
      <c r="K350" s="3"/>
      <c r="L350" s="3"/>
      <c r="M350" s="3"/>
      <c r="N350" s="16"/>
      <c r="O350" s="143"/>
    </row>
    <row r="351" spans="1:15" x14ac:dyDescent="0.3">
      <c r="A351" s="16"/>
      <c r="B351" s="3"/>
      <c r="C351" s="7" t="s">
        <v>121</v>
      </c>
      <c r="D351" s="133">
        <v>0.1</v>
      </c>
      <c r="E351" s="90">
        <f>Utbyggingsinformasjon!G17</f>
        <v>0</v>
      </c>
      <c r="F351" s="515" t="s">
        <v>139</v>
      </c>
      <c r="G351" s="515"/>
      <c r="H351" s="516"/>
      <c r="I351" s="3"/>
      <c r="J351" s="3"/>
      <c r="K351" s="3"/>
      <c r="L351" s="3"/>
      <c r="M351" s="3"/>
      <c r="N351" s="16"/>
      <c r="O351" s="143"/>
    </row>
    <row r="352" spans="1:15" x14ac:dyDescent="0.3">
      <c r="A352" s="16"/>
      <c r="B352" s="3"/>
      <c r="C352" s="7" t="s">
        <v>111</v>
      </c>
      <c r="D352" s="133">
        <v>0.06</v>
      </c>
      <c r="E352" s="90">
        <f>Utbyggingsinformasjon!G18</f>
        <v>0</v>
      </c>
      <c r="F352" s="519" t="s">
        <v>136</v>
      </c>
      <c r="G352" s="519"/>
      <c r="H352" s="520"/>
      <c r="I352" s="3"/>
      <c r="J352" s="3"/>
      <c r="K352" s="3"/>
      <c r="L352" s="3"/>
      <c r="M352" s="3"/>
      <c r="N352" s="16"/>
      <c r="O352" s="143"/>
    </row>
    <row r="353" spans="1:15" x14ac:dyDescent="0.3">
      <c r="A353" s="16"/>
      <c r="B353" s="3"/>
      <c r="C353" s="7" t="s">
        <v>182</v>
      </c>
      <c r="D353" s="133">
        <v>0.04</v>
      </c>
      <c r="E353" s="90">
        <f>Utbyggingsinformasjon!G19</f>
        <v>0</v>
      </c>
      <c r="F353" s="519" t="s">
        <v>184</v>
      </c>
      <c r="G353" s="519"/>
      <c r="H353" s="520"/>
      <c r="I353" s="3"/>
      <c r="J353" s="3"/>
      <c r="K353" s="3"/>
      <c r="L353" s="3"/>
      <c r="M353" s="3"/>
      <c r="N353" s="16"/>
      <c r="O353" s="143"/>
    </row>
    <row r="354" spans="1:15" x14ac:dyDescent="0.3">
      <c r="A354" s="16"/>
      <c r="B354" s="3"/>
      <c r="C354" s="7" t="s">
        <v>122</v>
      </c>
      <c r="D354" s="133">
        <v>0.04</v>
      </c>
      <c r="E354" s="90">
        <f>Utbyggingsinformasjon!G20</f>
        <v>0</v>
      </c>
      <c r="F354" s="514" t="s">
        <v>140</v>
      </c>
      <c r="G354" s="515"/>
      <c r="H354" s="516"/>
      <c r="I354" s="3"/>
      <c r="J354" s="3"/>
      <c r="K354" s="3"/>
      <c r="L354" s="3"/>
      <c r="M354" s="3"/>
      <c r="N354" s="16"/>
      <c r="O354" s="143"/>
    </row>
    <row r="355" spans="1:15" x14ac:dyDescent="0.3">
      <c r="A355" s="16"/>
      <c r="B355" s="4"/>
      <c r="C355" s="4"/>
      <c r="D355" s="147" t="s">
        <v>151</v>
      </c>
      <c r="E355" s="335">
        <f>D349*E349+D350*E350+D351*E351+D352*E352+D353*E353+D354*E354</f>
        <v>0</v>
      </c>
      <c r="F355" s="3"/>
      <c r="G355" s="3"/>
      <c r="H355" s="3"/>
      <c r="I355" s="3"/>
      <c r="J355" s="3"/>
      <c r="K355" s="3"/>
      <c r="L355" s="3"/>
      <c r="M355" s="3"/>
      <c r="N355" s="16"/>
      <c r="O355" s="143"/>
    </row>
    <row r="356" spans="1:15" x14ac:dyDescent="0.3">
      <c r="A356" s="16"/>
      <c r="B356" s="3"/>
      <c r="C356" s="3"/>
      <c r="D356" s="3"/>
      <c r="E356" s="3"/>
      <c r="F356" s="3"/>
      <c r="G356" s="3"/>
      <c r="H356" s="3"/>
      <c r="I356" s="3"/>
      <c r="J356" s="3"/>
      <c r="K356" s="3"/>
      <c r="L356" s="3"/>
      <c r="M356" s="3"/>
      <c r="N356" s="16"/>
      <c r="O356" s="143"/>
    </row>
    <row r="357" spans="1:15" x14ac:dyDescent="0.3">
      <c r="A357" s="16"/>
      <c r="B357" s="3"/>
      <c r="C357" s="3"/>
      <c r="D357" s="3"/>
      <c r="E357" s="3"/>
      <c r="F357" s="3"/>
      <c r="G357" s="3"/>
      <c r="H357" s="3"/>
      <c r="I357" s="3"/>
      <c r="J357" s="3"/>
      <c r="K357" s="3"/>
      <c r="L357" s="3"/>
      <c r="M357" s="3"/>
      <c r="N357" s="16"/>
      <c r="O357" s="143"/>
    </row>
    <row r="358" spans="1:15" x14ac:dyDescent="0.3">
      <c r="A358" s="16"/>
      <c r="B358" s="16"/>
      <c r="C358" s="16"/>
      <c r="D358" s="16"/>
      <c r="E358" s="16"/>
      <c r="F358" s="16"/>
      <c r="G358" s="16"/>
      <c r="H358" s="16"/>
      <c r="I358" s="16"/>
      <c r="J358" s="16"/>
      <c r="K358" s="16"/>
      <c r="L358" s="16"/>
      <c r="M358" s="16"/>
      <c r="N358" s="16"/>
      <c r="O358" s="143"/>
    </row>
    <row r="359" spans="1:15" ht="12.75" customHeight="1" x14ac:dyDescent="0.3">
      <c r="A359" s="16"/>
      <c r="B359" s="3"/>
      <c r="C359" s="3"/>
      <c r="D359" s="3"/>
      <c r="E359" s="3"/>
      <c r="F359" s="3"/>
      <c r="G359" s="3"/>
      <c r="H359" s="3"/>
      <c r="I359" s="3"/>
      <c r="J359" s="3"/>
      <c r="K359" s="3"/>
      <c r="L359" s="3"/>
      <c r="M359" s="3"/>
      <c r="N359" s="16"/>
    </row>
    <row r="360" spans="1:15" ht="12.75" customHeight="1" x14ac:dyDescent="0.3">
      <c r="A360" s="16"/>
      <c r="B360" s="3"/>
      <c r="C360" s="4" t="s">
        <v>193</v>
      </c>
      <c r="D360" s="3"/>
      <c r="E360" s="3"/>
      <c r="F360" s="3"/>
      <c r="G360" s="3"/>
      <c r="H360" s="3"/>
      <c r="I360" s="3"/>
      <c r="J360" s="3"/>
      <c r="K360" s="3"/>
      <c r="L360" s="3"/>
      <c r="M360" s="3"/>
      <c r="N360" s="16"/>
    </row>
    <row r="361" spans="1:15" ht="53.25" customHeight="1" x14ac:dyDescent="0.3">
      <c r="A361" s="16"/>
      <c r="B361" s="3"/>
      <c r="C361" s="387" t="s">
        <v>351</v>
      </c>
      <c r="D361" s="387"/>
      <c r="E361" s="387"/>
      <c r="F361" s="387"/>
      <c r="G361" s="387"/>
      <c r="H361" s="387"/>
      <c r="I361" s="387"/>
      <c r="J361" s="387"/>
      <c r="K361" s="387"/>
      <c r="L361" s="3"/>
      <c r="M361" s="3"/>
      <c r="N361" s="16"/>
    </row>
    <row r="362" spans="1:15" ht="12.75" customHeight="1" x14ac:dyDescent="0.3">
      <c r="A362" s="16"/>
      <c r="B362" s="3"/>
      <c r="C362" s="3"/>
      <c r="D362" s="3"/>
      <c r="E362" s="3"/>
      <c r="F362" s="3"/>
      <c r="G362" s="3"/>
      <c r="H362" s="12"/>
      <c r="I362" s="3"/>
      <c r="J362" s="3"/>
      <c r="K362" s="3"/>
      <c r="L362" s="3"/>
      <c r="M362" s="3"/>
      <c r="N362" s="16"/>
    </row>
    <row r="363" spans="1:15" ht="36.75" customHeight="1" x14ac:dyDescent="0.3">
      <c r="A363" s="16"/>
      <c r="B363" s="3"/>
      <c r="C363" s="198" t="s">
        <v>0</v>
      </c>
      <c r="D363" s="204" t="s">
        <v>190</v>
      </c>
      <c r="E363" s="159" t="s">
        <v>187</v>
      </c>
      <c r="F363" s="204" t="s">
        <v>188</v>
      </c>
      <c r="G363" s="204" t="s">
        <v>189</v>
      </c>
      <c r="H363" s="159" t="s">
        <v>341</v>
      </c>
      <c r="I363" s="159" t="s">
        <v>183</v>
      </c>
      <c r="J363" s="12"/>
      <c r="K363" s="3"/>
      <c r="L363" s="3"/>
      <c r="M363" s="3"/>
      <c r="N363" s="16"/>
      <c r="O363" s="201"/>
    </row>
    <row r="364" spans="1:15" ht="12.75" customHeight="1" x14ac:dyDescent="0.3">
      <c r="A364" s="16"/>
      <c r="B364" s="3"/>
      <c r="C364" s="203" t="s">
        <v>195</v>
      </c>
      <c r="D364" s="89">
        <v>6</v>
      </c>
      <c r="E364" s="113">
        <f>SUM(Utbyggingsinformasjon!E33:E34)</f>
        <v>0</v>
      </c>
      <c r="F364" s="89">
        <v>230</v>
      </c>
      <c r="G364" s="113">
        <f>D364*(E364/100)*F364</f>
        <v>0</v>
      </c>
      <c r="H364" s="360">
        <f>E355</f>
        <v>0</v>
      </c>
      <c r="I364" s="113">
        <f>G364*H364</f>
        <v>0</v>
      </c>
      <c r="J364" s="3"/>
      <c r="K364" s="3"/>
      <c r="L364" s="3"/>
      <c r="M364" s="3"/>
      <c r="N364" s="16"/>
      <c r="O364" s="201"/>
    </row>
    <row r="365" spans="1:15" ht="12.75" customHeight="1" x14ac:dyDescent="0.3">
      <c r="A365" s="16"/>
      <c r="B365" s="3"/>
      <c r="C365" s="203" t="s">
        <v>194</v>
      </c>
      <c r="D365" s="89">
        <v>12</v>
      </c>
      <c r="E365" s="113">
        <f>SUM(Utbyggingsinformasjon!E29:E30)</f>
        <v>0</v>
      </c>
      <c r="F365" s="89">
        <v>230</v>
      </c>
      <c r="G365" s="113">
        <f>D365*(E365/100)*F365</f>
        <v>0</v>
      </c>
      <c r="H365" s="360">
        <f>E355</f>
        <v>0</v>
      </c>
      <c r="I365" s="113">
        <f>G365*H365</f>
        <v>0</v>
      </c>
      <c r="J365" s="3"/>
      <c r="K365" s="3"/>
      <c r="L365" s="3"/>
      <c r="M365" s="3"/>
      <c r="N365" s="16"/>
      <c r="O365" s="201"/>
    </row>
    <row r="366" spans="1:15" x14ac:dyDescent="0.3">
      <c r="A366" s="16"/>
      <c r="B366" s="3"/>
      <c r="C366" s="203" t="s">
        <v>178</v>
      </c>
      <c r="D366" s="359">
        <v>50</v>
      </c>
      <c r="E366" s="113">
        <f>SUM(Utbyggingsinformasjon!E31:E32)</f>
        <v>0</v>
      </c>
      <c r="F366" s="89">
        <v>300</v>
      </c>
      <c r="G366" s="113">
        <f>(D366/100)*E366*F366</f>
        <v>0</v>
      </c>
      <c r="H366" s="333">
        <v>10</v>
      </c>
      <c r="I366" s="334">
        <f>G366*H366</f>
        <v>0</v>
      </c>
      <c r="J366" s="12"/>
      <c r="K366" s="3"/>
      <c r="L366" s="3"/>
      <c r="M366" s="3"/>
      <c r="N366" s="16"/>
      <c r="O366" s="143"/>
    </row>
    <row r="367" spans="1:15" x14ac:dyDescent="0.3">
      <c r="A367" s="16"/>
      <c r="B367" s="3"/>
      <c r="C367" s="3"/>
      <c r="D367" s="12"/>
      <c r="E367" s="3"/>
      <c r="F367" s="3"/>
      <c r="G367" s="3"/>
      <c r="H367" s="12"/>
      <c r="I367" s="3"/>
      <c r="J367" s="3"/>
      <c r="K367" s="3"/>
      <c r="L367" s="3"/>
      <c r="M367" s="3"/>
      <c r="N367" s="16"/>
    </row>
    <row r="368" spans="1:15" x14ac:dyDescent="0.3">
      <c r="A368" s="16"/>
      <c r="B368" s="3"/>
      <c r="C368" s="3"/>
      <c r="D368" s="3"/>
      <c r="E368" s="3"/>
      <c r="F368" s="3"/>
      <c r="G368" s="3"/>
      <c r="H368" s="3"/>
      <c r="I368" s="3"/>
      <c r="J368" s="3"/>
      <c r="K368" s="3"/>
      <c r="L368" s="3"/>
      <c r="M368" s="3"/>
      <c r="N368" s="16"/>
    </row>
    <row r="369" spans="1:15" x14ac:dyDescent="0.3">
      <c r="A369" s="16"/>
      <c r="B369" s="16"/>
      <c r="C369" s="16"/>
      <c r="D369" s="16"/>
      <c r="E369" s="16"/>
      <c r="F369" s="16"/>
      <c r="G369" s="16"/>
      <c r="H369" s="16"/>
      <c r="I369" s="16"/>
      <c r="J369" s="16"/>
      <c r="K369" s="16"/>
      <c r="L369" s="16"/>
      <c r="M369" s="16"/>
      <c r="N369" s="16"/>
    </row>
    <row r="370" spans="1:15" x14ac:dyDescent="0.3">
      <c r="A370" s="16"/>
      <c r="B370" s="3"/>
      <c r="C370" s="3"/>
      <c r="D370" s="3"/>
      <c r="E370" s="3"/>
      <c r="F370" s="3"/>
      <c r="G370" s="3"/>
      <c r="H370" s="3"/>
      <c r="I370" s="3"/>
      <c r="J370" s="3"/>
      <c r="K370" s="3"/>
      <c r="L370" s="3"/>
      <c r="M370" s="3"/>
      <c r="N370" s="16"/>
    </row>
    <row r="371" spans="1:15" x14ac:dyDescent="0.3">
      <c r="A371" s="16"/>
      <c r="B371" s="3"/>
      <c r="C371" s="4" t="s">
        <v>306</v>
      </c>
      <c r="D371" s="3"/>
      <c r="E371" s="3"/>
      <c r="F371" s="3"/>
      <c r="G371" s="3"/>
      <c r="H371" s="3"/>
      <c r="I371" s="3"/>
      <c r="J371" s="3"/>
      <c r="K371" s="3"/>
      <c r="L371" s="3"/>
      <c r="M371" s="3"/>
      <c r="N371" s="16"/>
    </row>
    <row r="372" spans="1:15" ht="40.5" customHeight="1" x14ac:dyDescent="0.3">
      <c r="A372" s="16"/>
      <c r="B372" s="3"/>
      <c r="C372" s="387" t="s">
        <v>286</v>
      </c>
      <c r="D372" s="387"/>
      <c r="E372" s="387"/>
      <c r="F372" s="387"/>
      <c r="G372" s="387"/>
      <c r="H372" s="387"/>
      <c r="I372" s="387"/>
      <c r="J372" s="387"/>
      <c r="K372" s="387"/>
      <c r="L372" s="3"/>
      <c r="M372" s="3"/>
      <c r="N372" s="16"/>
    </row>
    <row r="373" spans="1:15" x14ac:dyDescent="0.3">
      <c r="A373" s="16"/>
      <c r="B373" s="3"/>
      <c r="C373" s="4"/>
      <c r="D373" s="3"/>
      <c r="E373" s="3"/>
      <c r="F373" s="3"/>
      <c r="G373" s="3"/>
      <c r="H373" s="3"/>
      <c r="I373" s="3"/>
      <c r="J373" s="3"/>
      <c r="K373" s="3"/>
      <c r="L373" s="3"/>
      <c r="M373" s="3"/>
      <c r="N373" s="16"/>
    </row>
    <row r="374" spans="1:15" ht="39" x14ac:dyDescent="0.3">
      <c r="A374" s="16"/>
      <c r="B374" s="3"/>
      <c r="C374" s="118" t="s">
        <v>0</v>
      </c>
      <c r="D374" s="159" t="s">
        <v>191</v>
      </c>
      <c r="E374" s="112" t="s">
        <v>314</v>
      </c>
      <c r="F374" s="112" t="s">
        <v>336</v>
      </c>
      <c r="G374" s="112" t="s">
        <v>133</v>
      </c>
      <c r="H374" s="112" t="s">
        <v>335</v>
      </c>
      <c r="I374" s="112" t="s">
        <v>134</v>
      </c>
      <c r="J374" s="3"/>
      <c r="K374" s="3"/>
      <c r="L374" s="3"/>
      <c r="M374" s="3"/>
      <c r="N374" s="16"/>
    </row>
    <row r="375" spans="1:15" x14ac:dyDescent="0.3">
      <c r="A375" s="16"/>
      <c r="B375" s="3"/>
      <c r="C375" s="203" t="s">
        <v>195</v>
      </c>
      <c r="D375" s="324">
        <f>D337</f>
        <v>0.74</v>
      </c>
      <c r="E375" s="113">
        <f>I364</f>
        <v>0</v>
      </c>
      <c r="F375" s="530">
        <f>D328</f>
        <v>187.36</v>
      </c>
      <c r="G375" s="90">
        <f>D375*E375*$F$375/10^6</f>
        <v>0</v>
      </c>
      <c r="H375" s="530">
        <f>E328</f>
        <v>201.8</v>
      </c>
      <c r="I375" s="90">
        <f>D375*E375*$H$375/10^6</f>
        <v>0</v>
      </c>
      <c r="J375" s="3"/>
      <c r="K375" s="3"/>
      <c r="L375" s="3"/>
      <c r="M375" s="3"/>
      <c r="N375" s="16"/>
      <c r="O375" s="2"/>
    </row>
    <row r="376" spans="1:15" x14ac:dyDescent="0.3">
      <c r="A376" s="16"/>
      <c r="B376" s="3"/>
      <c r="C376" s="203" t="s">
        <v>194</v>
      </c>
      <c r="D376" s="324">
        <f>D337</f>
        <v>0.74</v>
      </c>
      <c r="E376" s="113">
        <f>I365</f>
        <v>0</v>
      </c>
      <c r="F376" s="530"/>
      <c r="G376" s="90">
        <f t="shared" ref="G376" si="15">D376*E376*$F$375/10^6</f>
        <v>0</v>
      </c>
      <c r="H376" s="530"/>
      <c r="I376" s="90">
        <f>D376*E376*$H$375/10^6</f>
        <v>0</v>
      </c>
      <c r="J376" s="3"/>
      <c r="K376" s="3"/>
      <c r="L376" s="3"/>
      <c r="M376" s="3"/>
      <c r="N376" s="16"/>
      <c r="O376" s="2"/>
    </row>
    <row r="377" spans="1:15" x14ac:dyDescent="0.3">
      <c r="A377" s="16"/>
      <c r="B377" s="3"/>
      <c r="C377" s="203" t="s">
        <v>178</v>
      </c>
      <c r="D377" s="324">
        <f>F337</f>
        <v>0.87</v>
      </c>
      <c r="E377" s="113">
        <f>I366</f>
        <v>0</v>
      </c>
      <c r="F377" s="530"/>
      <c r="G377" s="90">
        <f>D377*E377*$F$375/10^6</f>
        <v>0</v>
      </c>
      <c r="H377" s="530"/>
      <c r="I377" s="90">
        <f>D377*E377*$H$375/10^6</f>
        <v>0</v>
      </c>
      <c r="J377" s="3"/>
      <c r="K377" s="3"/>
      <c r="L377" s="3"/>
      <c r="M377" s="3"/>
      <c r="N377" s="16"/>
      <c r="O377" s="146"/>
    </row>
    <row r="378" spans="1:15" x14ac:dyDescent="0.3">
      <c r="A378" s="16"/>
      <c r="B378" s="3"/>
      <c r="C378" s="3"/>
      <c r="D378" s="3"/>
      <c r="E378" s="3"/>
      <c r="F378" s="160" t="s">
        <v>142</v>
      </c>
      <c r="G378" s="208">
        <f>SUM(G375:G377)</f>
        <v>0</v>
      </c>
      <c r="H378" s="160" t="s">
        <v>142</v>
      </c>
      <c r="I378" s="208">
        <f>SUM(I375:I377)</f>
        <v>0</v>
      </c>
      <c r="J378" s="3"/>
      <c r="K378" s="3"/>
      <c r="L378" s="3"/>
      <c r="M378" s="3"/>
      <c r="N378" s="16"/>
    </row>
    <row r="379" spans="1:15" x14ac:dyDescent="0.3">
      <c r="A379" s="16"/>
      <c r="B379" s="3"/>
      <c r="C379" s="4"/>
      <c r="D379" s="3"/>
      <c r="E379" s="3"/>
      <c r="F379" s="160" t="s">
        <v>150</v>
      </c>
      <c r="G379" s="208">
        <f>G378*60</f>
        <v>0</v>
      </c>
      <c r="H379" s="160" t="s">
        <v>150</v>
      </c>
      <c r="I379" s="208">
        <f>I378*60</f>
        <v>0</v>
      </c>
      <c r="J379" s="12"/>
      <c r="K379" s="3"/>
      <c r="L379" s="3"/>
      <c r="M379" s="3"/>
      <c r="N379" s="16"/>
    </row>
    <row r="380" spans="1:15" x14ac:dyDescent="0.3">
      <c r="A380" s="16"/>
      <c r="B380" s="3"/>
      <c r="C380" s="4"/>
      <c r="D380" s="3"/>
      <c r="E380" s="3"/>
      <c r="F380" s="3"/>
      <c r="G380" s="3"/>
      <c r="H380" s="3"/>
      <c r="I380" s="3"/>
      <c r="J380" s="3"/>
      <c r="K380" s="3"/>
      <c r="L380" s="3"/>
      <c r="M380" s="3"/>
      <c r="N380" s="16"/>
    </row>
    <row r="381" spans="1:15" x14ac:dyDescent="0.3">
      <c r="A381" s="16"/>
      <c r="B381" s="16"/>
      <c r="C381" s="16"/>
      <c r="D381" s="16"/>
      <c r="E381" s="16"/>
      <c r="F381" s="16"/>
      <c r="G381" s="16"/>
      <c r="H381" s="16"/>
      <c r="I381" s="16"/>
      <c r="J381" s="16"/>
      <c r="K381" s="16"/>
      <c r="L381" s="16"/>
      <c r="M381" s="16"/>
      <c r="N381" s="16"/>
    </row>
    <row r="382" spans="1:15" x14ac:dyDescent="0.3">
      <c r="A382" s="16"/>
      <c r="B382" s="3"/>
      <c r="C382" s="3"/>
      <c r="D382" s="3"/>
      <c r="E382" s="3"/>
      <c r="F382" s="3"/>
      <c r="G382" s="3"/>
      <c r="H382" s="3"/>
      <c r="I382" s="3"/>
      <c r="J382" s="3"/>
      <c r="K382" s="3"/>
      <c r="L382" s="3"/>
      <c r="M382" s="3"/>
      <c r="N382" s="16"/>
    </row>
    <row r="383" spans="1:15" x14ac:dyDescent="0.3">
      <c r="A383" s="16"/>
      <c r="B383" s="3"/>
      <c r="C383" s="4" t="s">
        <v>196</v>
      </c>
      <c r="D383" s="3"/>
      <c r="E383" s="3"/>
      <c r="F383" s="3"/>
      <c r="G383" s="3"/>
      <c r="H383" s="3"/>
      <c r="I383" s="3"/>
      <c r="J383" s="3"/>
      <c r="K383" s="3"/>
      <c r="L383" s="3"/>
      <c r="M383" s="3"/>
      <c r="N383" s="16"/>
    </row>
    <row r="384" spans="1:15" x14ac:dyDescent="0.3">
      <c r="A384" s="16"/>
      <c r="B384" s="3"/>
      <c r="C384" s="395" t="s">
        <v>323</v>
      </c>
      <c r="D384" s="395"/>
      <c r="E384" s="395"/>
      <c r="F384" s="395"/>
      <c r="G384" s="395"/>
      <c r="H384" s="395"/>
      <c r="I384" s="395"/>
      <c r="J384" s="395"/>
      <c r="K384" s="395"/>
      <c r="L384" s="3"/>
      <c r="M384" s="3"/>
      <c r="N384" s="16"/>
    </row>
    <row r="385" spans="1:15" x14ac:dyDescent="0.3">
      <c r="A385" s="16"/>
      <c r="B385" s="3"/>
      <c r="C385" s="4"/>
      <c r="D385" s="3"/>
      <c r="E385" s="3"/>
      <c r="F385" s="3"/>
      <c r="G385" s="3"/>
      <c r="H385" s="3"/>
      <c r="I385" s="3"/>
      <c r="J385" s="3"/>
      <c r="K385" s="3"/>
      <c r="L385" s="3"/>
      <c r="M385" s="3"/>
      <c r="N385" s="16"/>
    </row>
    <row r="386" spans="1:15" ht="39" x14ac:dyDescent="0.3">
      <c r="A386" s="16"/>
      <c r="B386" s="3"/>
      <c r="C386" s="118" t="s">
        <v>0</v>
      </c>
      <c r="D386" s="112" t="s">
        <v>197</v>
      </c>
      <c r="E386" s="159" t="s">
        <v>242</v>
      </c>
      <c r="F386" s="112" t="s">
        <v>314</v>
      </c>
      <c r="G386" s="112" t="s">
        <v>336</v>
      </c>
      <c r="H386" s="112" t="s">
        <v>133</v>
      </c>
      <c r="I386" s="112" t="s">
        <v>335</v>
      </c>
      <c r="J386" s="112" t="s">
        <v>134</v>
      </c>
      <c r="K386" s="3"/>
      <c r="L386" s="3"/>
      <c r="M386" s="3"/>
      <c r="N386" s="16"/>
    </row>
    <row r="387" spans="1:15" x14ac:dyDescent="0.3">
      <c r="A387" s="16"/>
      <c r="B387" s="3"/>
      <c r="C387" s="203" t="s">
        <v>195</v>
      </c>
      <c r="D387" s="527" t="str">
        <f>Utbyggingsinformasjon!M123</f>
        <v>Ingen restriksjoner (default)</v>
      </c>
      <c r="E387" s="324">
        <f>VLOOKUP($D$387,$C$337:$G$341,2,FALSE)</f>
        <v>0.74</v>
      </c>
      <c r="F387" s="113">
        <f>I364</f>
        <v>0</v>
      </c>
      <c r="G387" s="530">
        <f>D328</f>
        <v>187.36</v>
      </c>
      <c r="H387" s="90">
        <f>E387*F387*$G$387/10^6</f>
        <v>0</v>
      </c>
      <c r="I387" s="530">
        <f>E328</f>
        <v>201.8</v>
      </c>
      <c r="J387" s="90">
        <f>E387*F387*$I$387/10^6</f>
        <v>0</v>
      </c>
      <c r="K387" s="3"/>
      <c r="L387" s="3"/>
      <c r="M387" s="3"/>
      <c r="N387" s="16"/>
    </row>
    <row r="388" spans="1:15" x14ac:dyDescent="0.3">
      <c r="A388" s="16"/>
      <c r="B388" s="3"/>
      <c r="C388" s="203" t="s">
        <v>194</v>
      </c>
      <c r="D388" s="528"/>
      <c r="E388" s="324">
        <f>VLOOKUP($D$387,$C$337:$G$341,2,FALSE)</f>
        <v>0.74</v>
      </c>
      <c r="F388" s="113">
        <f>I365</f>
        <v>0</v>
      </c>
      <c r="G388" s="530"/>
      <c r="H388" s="90">
        <f>E388*F388*$G$387/10^6</f>
        <v>0</v>
      </c>
      <c r="I388" s="530"/>
      <c r="J388" s="90">
        <f>E388*F388*$I$387/10^6</f>
        <v>0</v>
      </c>
      <c r="K388" s="3"/>
      <c r="L388" s="3"/>
      <c r="M388" s="3"/>
      <c r="N388" s="16"/>
    </row>
    <row r="389" spans="1:15" x14ac:dyDescent="0.3">
      <c r="A389" s="16"/>
      <c r="B389" s="3"/>
      <c r="C389" s="203" t="s">
        <v>178</v>
      </c>
      <c r="D389" s="529"/>
      <c r="E389" s="324">
        <f>VLOOKUP($D$387,$C$337:$G$341,4,FALSE)</f>
        <v>0.87</v>
      </c>
      <c r="F389" s="113">
        <f>I366</f>
        <v>0</v>
      </c>
      <c r="G389" s="530"/>
      <c r="H389" s="90">
        <f>E389*F389*$G$387/10^6</f>
        <v>0</v>
      </c>
      <c r="I389" s="530"/>
      <c r="J389" s="90">
        <f>E389*F389*$I$387/10^6</f>
        <v>0</v>
      </c>
      <c r="K389" s="3"/>
      <c r="L389" s="3"/>
      <c r="M389" s="3"/>
      <c r="N389" s="16"/>
    </row>
    <row r="390" spans="1:15" x14ac:dyDescent="0.3">
      <c r="A390" s="16"/>
      <c r="B390" s="3"/>
      <c r="C390" s="4"/>
      <c r="D390" s="3"/>
      <c r="E390" s="3"/>
      <c r="F390" s="3"/>
      <c r="G390" s="160" t="s">
        <v>142</v>
      </c>
      <c r="H390" s="161">
        <f>SUM(H387:H389)</f>
        <v>0</v>
      </c>
      <c r="I390" s="160" t="s">
        <v>142</v>
      </c>
      <c r="J390" s="161">
        <f>SUM(J387:J389)</f>
        <v>0</v>
      </c>
      <c r="K390" s="3"/>
      <c r="L390" s="3"/>
      <c r="M390" s="3"/>
      <c r="N390" s="16"/>
    </row>
    <row r="391" spans="1:15" x14ac:dyDescent="0.3">
      <c r="A391" s="16"/>
      <c r="B391" s="3"/>
      <c r="C391" s="4"/>
      <c r="D391" s="3"/>
      <c r="E391" s="3"/>
      <c r="F391" s="3"/>
      <c r="G391" s="160" t="s">
        <v>150</v>
      </c>
      <c r="H391" s="208">
        <f>H390*60</f>
        <v>0</v>
      </c>
      <c r="I391" s="160" t="s">
        <v>150</v>
      </c>
      <c r="J391" s="208">
        <f>J390*60</f>
        <v>0</v>
      </c>
      <c r="K391" s="3"/>
      <c r="L391" s="3"/>
      <c r="M391" s="3"/>
      <c r="N391" s="16"/>
    </row>
    <row r="392" spans="1:15" x14ac:dyDescent="0.3">
      <c r="A392" s="16"/>
      <c r="B392" s="3"/>
      <c r="C392" s="4"/>
      <c r="D392" s="3"/>
      <c r="E392" s="3"/>
      <c r="F392" s="3"/>
      <c r="G392" s="3"/>
      <c r="H392" s="3"/>
      <c r="I392" s="3"/>
      <c r="J392" s="3"/>
      <c r="K392" s="3"/>
      <c r="L392" s="3"/>
      <c r="M392" s="3"/>
      <c r="N392" s="16"/>
    </row>
    <row r="393" spans="1:15" x14ac:dyDescent="0.3">
      <c r="A393" s="16"/>
      <c r="B393" s="16"/>
      <c r="C393" s="16"/>
      <c r="D393" s="16"/>
      <c r="E393" s="16"/>
      <c r="F393" s="16"/>
      <c r="G393" s="16"/>
      <c r="H393" s="16"/>
      <c r="I393" s="16"/>
      <c r="J393" s="16"/>
      <c r="K393" s="16"/>
      <c r="L393" s="16"/>
      <c r="M393" s="16"/>
      <c r="N393" s="16"/>
      <c r="O393" s="143"/>
    </row>
    <row r="394" spans="1:15" x14ac:dyDescent="0.3">
      <c r="O394" s="143"/>
    </row>
  </sheetData>
  <sheetProtection algorithmName="SHA-512" hashValue="O/bct8kCMhSehM+lQaT8RbN0ReN1TZC6nb4Cswpc631OXn/hHHt9FdbBJkOHSVI5etpOGLf8/gHUByf/RWOE0w==" saltValue="F75nG2KInALGwFWRLDnmcA==" spinCount="100000" sheet="1" objects="1" scenarios="1"/>
  <mergeCells count="141">
    <mergeCell ref="J245:K245"/>
    <mergeCell ref="C273:K273"/>
    <mergeCell ref="D245:D246"/>
    <mergeCell ref="E245:E246"/>
    <mergeCell ref="F159:I159"/>
    <mergeCell ref="F158:I158"/>
    <mergeCell ref="C167:L167"/>
    <mergeCell ref="F245:F246"/>
    <mergeCell ref="G245:G246"/>
    <mergeCell ref="C361:K361"/>
    <mergeCell ref="C384:K384"/>
    <mergeCell ref="D387:D389"/>
    <mergeCell ref="G387:G389"/>
    <mergeCell ref="I387:I389"/>
    <mergeCell ref="E247:E249"/>
    <mergeCell ref="F350:H350"/>
    <mergeCell ref="F351:H351"/>
    <mergeCell ref="F375:F377"/>
    <mergeCell ref="H375:H377"/>
    <mergeCell ref="C372:K372"/>
    <mergeCell ref="H245:I245"/>
    <mergeCell ref="C243:K243"/>
    <mergeCell ref="C209:C210"/>
    <mergeCell ref="E209:F209"/>
    <mergeCell ref="G222:H222"/>
    <mergeCell ref="D209:D210"/>
    <mergeCell ref="A253:N253"/>
    <mergeCell ref="C255:L255"/>
    <mergeCell ref="F354:H354"/>
    <mergeCell ref="C293:C302"/>
    <mergeCell ref="C310:K310"/>
    <mergeCell ref="C334:K334"/>
    <mergeCell ref="D311:E311"/>
    <mergeCell ref="C322:K322"/>
    <mergeCell ref="C306:K306"/>
    <mergeCell ref="C346:K346"/>
    <mergeCell ref="D335:E335"/>
    <mergeCell ref="F335:G335"/>
    <mergeCell ref="F352:H352"/>
    <mergeCell ref="F353:H353"/>
    <mergeCell ref="F349:H349"/>
    <mergeCell ref="D222:F222"/>
    <mergeCell ref="C259:K259"/>
    <mergeCell ref="C288:K288"/>
    <mergeCell ref="C104:D104"/>
    <mergeCell ref="C114:K114"/>
    <mergeCell ref="D182:E182"/>
    <mergeCell ref="H75:H77"/>
    <mergeCell ref="D73:D74"/>
    <mergeCell ref="E73:E74"/>
    <mergeCell ref="F73:F74"/>
    <mergeCell ref="G73:G74"/>
    <mergeCell ref="C29:D29"/>
    <mergeCell ref="C30:D30"/>
    <mergeCell ref="C31:D31"/>
    <mergeCell ref="C32:D32"/>
    <mergeCell ref="C33:D33"/>
    <mergeCell ref="F65:G65"/>
    <mergeCell ref="G80:H81"/>
    <mergeCell ref="F160:I161"/>
    <mergeCell ref="C105:D105"/>
    <mergeCell ref="C146:L146"/>
    <mergeCell ref="F147:G147"/>
    <mergeCell ref="H147:I147"/>
    <mergeCell ref="E148:E149"/>
    <mergeCell ref="F148:I149"/>
    <mergeCell ref="F182:G182"/>
    <mergeCell ref="F150:I150"/>
    <mergeCell ref="F151:I151"/>
    <mergeCell ref="F152:I152"/>
    <mergeCell ref="F153:I153"/>
    <mergeCell ref="F154:I154"/>
    <mergeCell ref="F155:I155"/>
    <mergeCell ref="C148:D149"/>
    <mergeCell ref="C4:K4"/>
    <mergeCell ref="A2:L2"/>
    <mergeCell ref="C40:K40"/>
    <mergeCell ref="C42:C43"/>
    <mergeCell ref="C70:K70"/>
    <mergeCell ref="D72:G72"/>
    <mergeCell ref="H72:K72"/>
    <mergeCell ref="C72:C74"/>
    <mergeCell ref="H73:H74"/>
    <mergeCell ref="I73:I74"/>
    <mergeCell ref="J73:J74"/>
    <mergeCell ref="K73:K74"/>
    <mergeCell ref="G60:G62"/>
    <mergeCell ref="C8:K8"/>
    <mergeCell ref="F25:G25"/>
    <mergeCell ref="H25:I25"/>
    <mergeCell ref="E25:E26"/>
    <mergeCell ref="C10:C11"/>
    <mergeCell ref="H10:J10"/>
    <mergeCell ref="C28:D28"/>
    <mergeCell ref="C23:K23"/>
    <mergeCell ref="F58:H58"/>
    <mergeCell ref="D42:F42"/>
    <mergeCell ref="C56:K56"/>
    <mergeCell ref="C234:C235"/>
    <mergeCell ref="D234:F234"/>
    <mergeCell ref="G234:H234"/>
    <mergeCell ref="C227:H227"/>
    <mergeCell ref="C221:H221"/>
    <mergeCell ref="C233:H233"/>
    <mergeCell ref="C222:C223"/>
    <mergeCell ref="D169:D170"/>
    <mergeCell ref="E169:E170"/>
    <mergeCell ref="F169:F170"/>
    <mergeCell ref="G169:H169"/>
    <mergeCell ref="D195:G195"/>
    <mergeCell ref="C182:C183"/>
    <mergeCell ref="C193:L193"/>
    <mergeCell ref="C195:C196"/>
    <mergeCell ref="H195:I195"/>
    <mergeCell ref="C207:L207"/>
    <mergeCell ref="C219:K219"/>
    <mergeCell ref="C180:L180"/>
    <mergeCell ref="C107:D107"/>
    <mergeCell ref="E105:E107"/>
    <mergeCell ref="F109:G109"/>
    <mergeCell ref="I80:J81"/>
    <mergeCell ref="K80:K81"/>
    <mergeCell ref="F202:G202"/>
    <mergeCell ref="C228:C229"/>
    <mergeCell ref="D228:F228"/>
    <mergeCell ref="G228:H228"/>
    <mergeCell ref="I169:J169"/>
    <mergeCell ref="D137:F137"/>
    <mergeCell ref="F156:I156"/>
    <mergeCell ref="F157:I157"/>
    <mergeCell ref="D115:G115"/>
    <mergeCell ref="H115:K115"/>
    <mergeCell ref="C120:C125"/>
    <mergeCell ref="A129:N129"/>
    <mergeCell ref="C131:L131"/>
    <mergeCell ref="C135:L135"/>
    <mergeCell ref="C137:C138"/>
    <mergeCell ref="I137:L137"/>
    <mergeCell ref="C82:C96"/>
    <mergeCell ref="C102:K102"/>
    <mergeCell ref="C106:D106"/>
  </mergeCells>
  <phoneticPr fontId="16"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FORSIDEN</vt:lpstr>
      <vt:lpstr>Utbyggingsinformasjon</vt:lpstr>
      <vt:lpstr>Resultat</vt:lpstr>
      <vt:lpstr>Forutsetninger og beregninger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Smith</dc:creator>
  <cp:lastModifiedBy>Ingebjørg Weselka Tofte</cp:lastModifiedBy>
  <cp:lastPrinted>2021-06-21T15:45:19Z</cp:lastPrinted>
  <dcterms:created xsi:type="dcterms:W3CDTF">2015-06-05T18:17:20Z</dcterms:created>
  <dcterms:modified xsi:type="dcterms:W3CDTF">2021-06-23T12:15:14Z</dcterms:modified>
</cp:coreProperties>
</file>